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istorical Financials" sheetId="1" state="visible" r:id="rId1"/>
    <sheet xmlns:r="http://schemas.openxmlformats.org/officeDocument/2006/relationships" name="Company Research" sheetId="2" state="visible" r:id="rId2"/>
    <sheet xmlns:r="http://schemas.openxmlformats.org/officeDocument/2006/relationships" name="Qual vs Quant Evaluation" sheetId="3" state="visible" r:id="rId3"/>
  </sheets>
  <definedNames/>
  <calcPr calcId="124519" fullCalcOnLoad="1"/>
</workbook>
</file>

<file path=xl/styles.xml><?xml version="1.0" encoding="utf-8"?>
<styleSheet xmlns="http://schemas.openxmlformats.org/spreadsheetml/2006/main">
  <numFmts count="4">
    <numFmt numFmtId="164" formatCode="_($* #,##0.0_);_($* (#,##0.0);_($* &quot;-&quot;??_);_(@_)"/>
    <numFmt numFmtId="165" formatCode="_(* #,##0.0_);_(* (#,##0.0);_(* &quot;-&quot;??_);_(@_)"/>
    <numFmt numFmtId="166" formatCode="_($* #,##0.00_);_($* (#,##0.00);_($* &quot;-&quot;??_);_(@_)"/>
    <numFmt numFmtId="167" formatCode="0.0%"/>
  </numFmts>
  <fonts count="16">
    <font>
      <name val="Calibri"/>
      <family val="2"/>
      <color theme="1"/>
      <sz val="11"/>
      <scheme val="minor"/>
    </font>
    <font>
      <name val="Calibri"/>
      <b val="1"/>
      <color rgb="001B365D"/>
      <sz val="16"/>
    </font>
    <font>
      <name val="Calibri"/>
      <i val="1"/>
      <color rgb="004A5568"/>
      <sz val="11"/>
    </font>
    <font>
      <name val="Calibri"/>
      <i val="1"/>
      <color rgb="00718096"/>
      <sz val="9.5"/>
    </font>
    <font>
      <name val="Calibri"/>
      <b val="1"/>
      <color rgb="001A202C"/>
      <sz val="11"/>
    </font>
    <font>
      <name val="Calibri"/>
      <b val="1"/>
      <color rgb="00FFFFFF"/>
      <sz val="11"/>
    </font>
    <font>
      <name val="Calibri"/>
      <b val="1"/>
      <color rgb="00000000"/>
      <sz val="10"/>
    </font>
    <font>
      <name val="Calibri"/>
      <color rgb="00000000"/>
      <sz val="10"/>
    </font>
    <font>
      <name val="Calibri"/>
      <i val="1"/>
      <color rgb="00718096"/>
      <sz val="9"/>
    </font>
    <font>
      <name val="Calibri"/>
      <i val="1"/>
      <color rgb="002D3748"/>
      <sz val="9.5"/>
    </font>
    <font>
      <name val="Calibri"/>
      <sz val="11"/>
    </font>
    <font>
      <name val="Calibri"/>
      <b val="1"/>
      <color rgb="001B365D"/>
      <sz val="15"/>
    </font>
    <font>
      <name val="Calibri"/>
      <i val="1"/>
      <color rgb="004A5568"/>
      <sz val="10.5"/>
    </font>
    <font>
      <name val="Calibri"/>
      <i val="1"/>
      <color rgb="004A5568"/>
      <sz val="9.5"/>
    </font>
    <font>
      <name val="Calibri"/>
      <b val="1"/>
      <color rgb="001A202C"/>
      <sz val="10.5"/>
    </font>
    <font>
      <name val="Calibri"/>
      <b val="1"/>
      <color rgb="001B365D"/>
      <sz val="10.5"/>
    </font>
  </fonts>
  <fills count="9">
    <fill>
      <patternFill/>
    </fill>
    <fill>
      <patternFill patternType="gray125"/>
    </fill>
    <fill>
      <patternFill patternType="solid">
        <fgColor rgb="00EDF2F7"/>
        <bgColor rgb="00EDF2F7"/>
      </patternFill>
    </fill>
    <fill>
      <patternFill patternType="solid">
        <fgColor rgb="001B365D"/>
        <bgColor rgb="001B365D"/>
      </patternFill>
    </fill>
    <fill>
      <patternFill patternType="solid">
        <fgColor rgb="00F8FAFC"/>
        <bgColor rgb="00F8FAFC"/>
      </patternFill>
    </fill>
    <fill>
      <patternFill patternType="solid">
        <fgColor rgb="00FEFCBF"/>
        <bgColor rgb="00FEFCBF"/>
      </patternFill>
    </fill>
    <fill>
      <patternFill patternType="solid">
        <fgColor rgb="00E6FFFA"/>
        <bgColor rgb="00E6FFFA"/>
      </patternFill>
    </fill>
    <fill>
      <patternFill patternType="solid">
        <fgColor rgb="00F7FAFC"/>
        <bgColor rgb="00F7FAFC"/>
      </patternFill>
    </fill>
    <fill>
      <patternFill patternType="solid">
        <fgColor rgb="00E2E8F0"/>
        <bgColor rgb="00E2E8F0"/>
      </patternFill>
    </fill>
  </fills>
  <borders count="18">
    <border>
      <left/>
      <right/>
      <top/>
      <bottom/>
      <diagonal/>
    </border>
    <border>
      <top style="thin">
        <color rgb="00A0AEC0"/>
      </top>
      <bottom style="medium">
        <color rgb="001B365D"/>
      </bottom>
    </border>
    <border>
      <top style="thin">
        <color rgb="00A0AEC0"/>
      </top>
    </border>
    <border>
      <top style="thin">
        <color rgb="00A0AEC0"/>
      </top>
      <bottom style="double">
        <color rgb="001A202C"/>
      </bottom>
    </border>
    <border>
      <left style="thin">
        <color rgb="00A0AEC0"/>
      </left>
      <right style="thin">
        <color rgb="00A0AEC0"/>
      </right>
      <top style="thin">
        <color rgb="00A0AEC0"/>
      </top>
      <bottom style="thin">
        <color rgb="00A0AEC0"/>
      </bottom>
    </border>
    <border/>
    <border>
      <left style="thin">
        <color rgb="00CBD5E0"/>
      </left>
      <right style="thin">
        <color rgb="00CBD5E0"/>
      </right>
      <top style="thin">
        <color rgb="00CBD5E0"/>
      </top>
      <bottom style="medium">
        <color rgb="001B365D"/>
      </bottom>
    </border>
    <border>
      <left style="thin">
        <color rgb="00CBD5E0"/>
      </left>
      <right style="thin">
        <color rgb="00CBD5E0"/>
      </right>
      <top style="thin">
        <color rgb="00CBD5E0"/>
      </top>
      <bottom style="thin">
        <color rgb="00CBD5E0"/>
      </bottom>
    </border>
    <border>
      <left/>
      <right/>
      <top style="thin">
        <color rgb="00CBD5E0"/>
      </top>
      <bottom/>
      <diagonal/>
    </border>
    <border>
      <left/>
      <right style="thin">
        <color rgb="00CBD5E0"/>
      </right>
      <top style="thin">
        <color rgb="00CBD5E0"/>
      </top>
      <bottom/>
      <diagonal/>
    </border>
    <border>
      <left/>
      <right/>
      <top style="thin">
        <color rgb="00CBD5E0"/>
      </top>
      <bottom style="thin">
        <color rgb="00CBD5E0"/>
      </bottom>
      <diagonal/>
    </border>
    <border>
      <left/>
      <right style="thin">
        <color rgb="00CBD5E0"/>
      </right>
      <top style="thin">
        <color rgb="00CBD5E0"/>
      </top>
      <bottom style="thin">
        <color rgb="00CBD5E0"/>
      </bottom>
      <diagonal/>
    </border>
    <border>
      <left style="thin">
        <color rgb="00CBD5E0"/>
      </left>
      <right/>
      <top/>
      <bottom/>
      <diagonal/>
    </border>
    <border>
      <left/>
      <right style="thin">
        <color rgb="00CBD5E0"/>
      </right>
      <top/>
      <bottom/>
      <diagonal/>
    </border>
    <border>
      <left style="thin">
        <color rgb="00CBD5E0"/>
      </left>
      <right/>
      <top/>
      <bottom style="thin">
        <color rgb="00CBD5E0"/>
      </bottom>
      <diagonal/>
    </border>
    <border>
      <left/>
      <right/>
      <top/>
      <bottom style="thin">
        <color rgb="00CBD5E0"/>
      </bottom>
      <diagonal/>
    </border>
    <border>
      <left/>
      <right style="thin">
        <color rgb="00CBD5E0"/>
      </right>
      <top/>
      <bottom style="thin">
        <color rgb="00CBD5E0"/>
      </bottom>
      <diagonal/>
    </border>
    <border>
      <left style="thin">
        <color rgb="00A0AEC0"/>
      </left>
      <right style="thin">
        <color rgb="00A0AEC0"/>
      </right>
      <top style="thin">
        <color rgb="00A0AEC0"/>
      </top>
      <bottom style="medium">
        <color rgb="001B365D"/>
      </bottom>
    </border>
  </borders>
  <cellStyleXfs count="1">
    <xf numFmtId="0" fontId="0" fillId="0" borderId="0"/>
  </cellStyleXfs>
  <cellXfs count="5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left" vertical="center"/>
    </xf>
    <xf numFmtId="0" fontId="4" fillId="2" borderId="1" applyAlignment="1" pivotButton="0" quotePrefix="0" xfId="0">
      <alignment horizontal="center" vertical="center"/>
    </xf>
    <xf numFmtId="0" fontId="5" fillId="3" borderId="0" applyAlignment="1" pivotButton="0" quotePrefix="0" xfId="0">
      <alignment horizontal="left" vertical="center"/>
    </xf>
    <xf numFmtId="0" fontId="0" fillId="3" borderId="0" pivotButton="0" quotePrefix="0" xfId="0"/>
    <xf numFmtId="0" fontId="6" fillId="0" borderId="0" applyAlignment="1" pivotButton="0" quotePrefix="0" xfId="0">
      <alignment horizontal="left" vertical="center"/>
    </xf>
    <xf numFmtId="0" fontId="7" fillId="0" borderId="0" pivotButton="0" quotePrefix="0" xfId="0"/>
    <xf numFmtId="164" fontId="7" fillId="0" borderId="0" applyAlignment="1" pivotButton="0" quotePrefix="0" xfId="0">
      <alignment horizontal="right" vertical="center"/>
    </xf>
    <xf numFmtId="165" fontId="7" fillId="0" borderId="0" applyAlignment="1" pivotButton="0" quotePrefix="0" xfId="0">
      <alignment horizontal="right" vertical="center"/>
    </xf>
    <xf numFmtId="0" fontId="6" fillId="0" borderId="2" pivotButton="0" quotePrefix="0" xfId="0"/>
    <xf numFmtId="165" fontId="6" fillId="0" borderId="2" applyAlignment="1" pivotButton="0" quotePrefix="0" xfId="0">
      <alignment horizontal="right" vertical="center"/>
    </xf>
    <xf numFmtId="0" fontId="6" fillId="0" borderId="3" pivotButton="0" quotePrefix="0" xfId="0"/>
    <xf numFmtId="164" fontId="6" fillId="0" borderId="3" applyAlignment="1" pivotButton="0" quotePrefix="0" xfId="0">
      <alignment horizontal="right" vertical="center"/>
    </xf>
    <xf numFmtId="166" fontId="7" fillId="0" borderId="0" applyAlignment="1" pivotButton="0" quotePrefix="0" xfId="0">
      <alignment horizontal="right" vertical="center"/>
    </xf>
    <xf numFmtId="0" fontId="8" fillId="4" borderId="0" pivotButton="0" quotePrefix="0" xfId="0"/>
    <xf numFmtId="165" fontId="8" fillId="4" borderId="0" applyAlignment="1" pivotButton="0" quotePrefix="0" xfId="0">
      <alignment horizontal="right" vertical="center"/>
    </xf>
    <xf numFmtId="0" fontId="9" fillId="5" borderId="4" applyAlignment="1" pivotButton="0" quotePrefix="0" xfId="0">
      <alignment horizontal="left" vertical="center" wrapText="1"/>
    </xf>
    <xf numFmtId="0" fontId="10" fillId="0" borderId="5" pivotButton="0" quotePrefix="0" xfId="0"/>
    <xf numFmtId="0" fontId="11" fillId="0" borderId="0" pivotButton="0" quotePrefix="0" xfId="0"/>
    <xf numFmtId="0" fontId="12" fillId="0" borderId="0" pivotButton="0" quotePrefix="0" xfId="0"/>
    <xf numFmtId="0" fontId="6" fillId="0" borderId="0" pivotButton="0" quotePrefix="0" xfId="0"/>
    <xf numFmtId="0" fontId="7"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2" borderId="6" applyAlignment="1" pivotButton="0" quotePrefix="0" xfId="0">
      <alignment horizontal="center" vertical="center"/>
    </xf>
    <xf numFmtId="0" fontId="6" fillId="0" borderId="7" applyAlignment="1" pivotButton="0" quotePrefix="0" xfId="0">
      <alignment horizontal="left" vertical="top" wrapText="1"/>
    </xf>
    <xf numFmtId="0" fontId="7" fillId="0" borderId="7" applyAlignment="1" pivotButton="0" quotePrefix="0" xfId="0">
      <alignment horizontal="left" vertical="top" wrapText="1"/>
    </xf>
    <xf numFmtId="0" fontId="6" fillId="0" borderId="7" applyAlignment="1" pivotButton="0" quotePrefix="0" xfId="0">
      <alignment horizontal="center" vertical="center"/>
    </xf>
    <xf numFmtId="0" fontId="0" fillId="0" borderId="7" pivotButton="0" quotePrefix="0" xfId="0"/>
    <xf numFmtId="0" fontId="6" fillId="0" borderId="7" applyAlignment="1" pivotButton="0" quotePrefix="0" xfId="0">
      <alignment horizontal="left" vertical="center"/>
    </xf>
    <xf numFmtId="0" fontId="14" fillId="2" borderId="0" applyAlignment="1" pivotButton="0" quotePrefix="0" xfId="0">
      <alignment horizontal="center" vertical="center"/>
    </xf>
    <xf numFmtId="0" fontId="14" fillId="6" borderId="0" applyAlignment="1" pivotButton="0" quotePrefix="0" xfId="0">
      <alignment horizontal="center" vertical="center"/>
    </xf>
    <xf numFmtId="0" fontId="6" fillId="7" borderId="7" applyAlignment="1" pivotButton="0" quotePrefix="0" xfId="0">
      <alignment horizontal="left" vertical="top" wrapText="1"/>
    </xf>
    <xf numFmtId="0" fontId="14" fillId="2" borderId="6" applyAlignment="1" pivotButton="0" quotePrefix="0" xfId="0">
      <alignment horizontal="left" vertical="center"/>
    </xf>
    <xf numFmtId="0" fontId="6" fillId="0" borderId="7" pivotButton="0" quotePrefix="0" xfId="0"/>
    <xf numFmtId="164" fontId="7" fillId="0" borderId="7" applyAlignment="1" pivotButton="0" quotePrefix="0" xfId="0">
      <alignment horizontal="right" vertical="center"/>
    </xf>
    <xf numFmtId="167" fontId="7" fillId="0" borderId="7" applyAlignment="1" pivotButton="0" quotePrefix="0" xfId="0">
      <alignment horizontal="right" vertical="center"/>
    </xf>
    <xf numFmtId="0" fontId="13" fillId="0" borderId="7" applyAlignment="1" pivotButton="0" quotePrefix="0" xfId="0">
      <alignment horizontal="left" vertical="top" wrapText="1"/>
    </xf>
    <xf numFmtId="0" fontId="7" fillId="0" borderId="7" pivotButton="0" quotePrefix="0" xfId="0"/>
    <xf numFmtId="167" fontId="6" fillId="0" borderId="7" applyAlignment="1" pivotButton="0" quotePrefix="0" xfId="0">
      <alignment horizontal="right" vertical="center"/>
    </xf>
    <xf numFmtId="164" fontId="6" fillId="0" borderId="7" applyAlignment="1" pivotButton="0" quotePrefix="0" xfId="0">
      <alignment horizontal="right" vertical="center"/>
    </xf>
    <xf numFmtId="0" fontId="15" fillId="8" borderId="7" applyAlignment="1" pivotButton="0" quotePrefix="0" xfId="0">
      <alignment horizontal="left" vertical="center"/>
    </xf>
    <xf numFmtId="0" fontId="14" fillId="2" borderId="17" applyAlignment="1" pivotButton="0" quotePrefix="0" xfId="0">
      <alignment horizontal="center" vertical="center"/>
    </xf>
    <xf numFmtId="0" fontId="10" fillId="3" borderId="5" pivotButton="0" quotePrefix="0" xfId="0"/>
    <xf numFmtId="167" fontId="7" fillId="0" borderId="5" applyAlignment="1" pivotButton="0" quotePrefix="0" xfId="0">
      <alignment horizontal="right" vertical="center"/>
    </xf>
    <xf numFmtId="167" fontId="7" fillId="0" borderId="0" applyAlignment="1" pivotButton="0" quotePrefix="0" xfId="0">
      <alignment horizontal="right" vertical="center"/>
    </xf>
    <xf numFmtId="167" fontId="6" fillId="0" borderId="2" applyAlignment="1" pivotButton="0" quotePrefix="0" xfId="0">
      <alignment horizontal="right" vertical="center"/>
    </xf>
    <xf numFmtId="167" fontId="6" fillId="0" borderId="3" applyAlignment="1" pivotButton="0" quotePrefix="0" xfId="0">
      <alignment horizontal="right" vertical="center"/>
    </xf>
    <xf numFmtId="0" fontId="0" fillId="0" borderId="10" pivotButton="0" quotePrefix="0" xfId="0"/>
    <xf numFmtId="0" fontId="0" fillId="0" borderId="11" pivotButton="0" quotePrefix="0" xfId="0"/>
    <xf numFmtId="0" fontId="0" fillId="0" borderId="8" pivotButton="0" quotePrefix="0" xfId="0"/>
    <xf numFmtId="0" fontId="0" fillId="0" borderId="9" pivotButton="0" quotePrefix="0" xfId="0"/>
    <xf numFmtId="0" fontId="0" fillId="0" borderId="14" pivotButton="0" quotePrefix="0" xfId="0"/>
    <xf numFmtId="0" fontId="0" fillId="0" borderId="15" pivotButton="0" quotePrefix="0" xfId="0"/>
    <xf numFmtId="0" fontId="0" fillId="0" borderId="16" pivotButton="0" quotePrefix="0" xfId="0"/>
    <xf numFmtId="0" fontId="0" fillId="0" borderId="12" pivotButton="0" quotePrefix="0" xfId="0"/>
    <xf numFmtId="0" fontId="0" fillId="0" borderId="1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11"/>
  <sheetViews>
    <sheetView showGridLines="1" workbookViewId="0">
      <selection activeCell="A1" sqref="A1"/>
    </sheetView>
  </sheetViews>
  <sheetFormatPr baseColWidth="8" defaultRowHeight="15"/>
  <cols>
    <col width="54" customWidth="1" min="1" max="1"/>
    <col width="14" customWidth="1" min="2" max="2"/>
    <col width="14" customWidth="1" min="3" max="3"/>
    <col width="14" customWidth="1" min="4" max="4"/>
    <col width="14" customWidth="1" min="5" max="5"/>
    <col width="14" customWidth="1" min="6" max="6"/>
  </cols>
  <sheetData>
    <row r="1">
      <c r="A1" s="1" t="inlineStr">
        <is>
          <t>SunCoke Energy, Inc. (NYSE: SXC)</t>
        </is>
      </c>
      <c r="E1" s="20" t="n"/>
    </row>
    <row r="2">
      <c r="A2" s="2" t="inlineStr">
        <is>
          <t>Consolidated Historical Financial Statements (3-Year Model: 2023 - 2025)</t>
        </is>
      </c>
      <c r="E2" s="20" t="n"/>
    </row>
    <row r="3">
      <c r="A3" s="3" t="inlineStr">
        <is>
          <t>(Dollars in millions, except per share data)</t>
        </is>
      </c>
      <c r="E3" s="20" t="n"/>
    </row>
    <row r="4">
      <c r="E4" s="20" t="n"/>
    </row>
    <row r="5">
      <c r="A5" s="4" t="inlineStr">
        <is>
          <t>Financial Statement Line Item</t>
        </is>
      </c>
      <c r="B5" s="5" t="inlineStr">
        <is>
          <t>FY 2023</t>
        </is>
      </c>
      <c r="C5" s="5" t="inlineStr">
        <is>
          <t>FY 2024</t>
        </is>
      </c>
      <c r="D5" s="5" t="inlineStr">
        <is>
          <t>FY 2025</t>
        </is>
      </c>
      <c r="E5" s="44" t="inlineStr">
        <is>
          <t>YoY '23-'24</t>
        </is>
      </c>
      <c r="F5" s="44" t="inlineStr">
        <is>
          <t>YoY '24-'25</t>
        </is>
      </c>
    </row>
    <row r="6">
      <c r="A6" s="6" t="inlineStr">
        <is>
          <t>CONSOLIDATED STATEMENTS OF OPERATIONS</t>
        </is>
      </c>
      <c r="B6" s="7" t="n"/>
      <c r="C6" s="7" t="n"/>
      <c r="D6" s="7" t="n"/>
      <c r="E6" s="45" t="n"/>
      <c r="F6" s="7" t="n"/>
    </row>
    <row r="7">
      <c r="A7" s="8" t="inlineStr">
        <is>
          <t>Revenues:</t>
        </is>
      </c>
      <c r="E7" s="20" t="n"/>
    </row>
    <row r="8">
      <c r="A8" s="9" t="inlineStr">
        <is>
          <t xml:space="preserve">  Sales and other operating revenue</t>
        </is>
      </c>
      <c r="B8" s="10" t="n">
        <v>2063.2</v>
      </c>
      <c r="C8" s="10" t="n">
        <v>1935.4</v>
      </c>
      <c r="D8" s="10" t="n">
        <v>1837.3</v>
      </c>
      <c r="E8" s="46">
        <f>IFERROR(C8/B8-1, "-")</f>
        <v/>
      </c>
      <c r="F8" s="47">
        <f>IFERROR(D8/C8-1, "-")</f>
        <v/>
      </c>
    </row>
    <row r="9">
      <c r="A9" s="8" t="inlineStr">
        <is>
          <t>Costs and operating expenses:</t>
        </is>
      </c>
      <c r="E9" s="20" t="n"/>
    </row>
    <row r="10">
      <c r="A10" s="9" t="inlineStr">
        <is>
          <t xml:space="preserve">  Cost of products sold and operating expenses</t>
        </is>
      </c>
      <c r="B10" s="11" t="n">
        <v>1724.6</v>
      </c>
      <c r="C10" s="11" t="n">
        <v>1603.4</v>
      </c>
      <c r="D10" s="11" t="n">
        <v>1553</v>
      </c>
      <c r="E10" s="46">
        <f>IFERROR(C10/B10-1, "-")</f>
        <v/>
      </c>
      <c r="F10" s="47">
        <f>IFERROR(D10/C10-1, "-")</f>
        <v/>
      </c>
    </row>
    <row r="11">
      <c r="A11" s="12" t="inlineStr">
        <is>
          <t>Gross Profit</t>
        </is>
      </c>
      <c r="B11" s="13">
        <f>B8-B10</f>
        <v/>
      </c>
      <c r="C11" s="13">
        <f>C8-C10</f>
        <v/>
      </c>
      <c r="D11" s="13">
        <f>D8-D10</f>
        <v/>
      </c>
      <c r="E11" s="48">
        <f>IFERROR(C11/B11-1, "-")</f>
        <v/>
      </c>
      <c r="F11" s="48">
        <f>IFERROR(D11/C11-1, "-")</f>
        <v/>
      </c>
    </row>
    <row r="12">
      <c r="A12" s="9" t="inlineStr">
        <is>
          <t xml:space="preserve">  Selling, general and administrative expenses</t>
        </is>
      </c>
      <c r="B12" s="11" t="n">
        <v>70.7</v>
      </c>
      <c r="C12" s="11" t="n">
        <v>61.2</v>
      </c>
      <c r="D12" s="11" t="n">
        <v>84.8</v>
      </c>
      <c r="E12" s="46">
        <f>IFERROR(C12/B12-1, "-")</f>
        <v/>
      </c>
      <c r="F12" s="47">
        <f>IFERROR(D12/C12-1, "-")</f>
        <v/>
      </c>
    </row>
    <row r="13">
      <c r="A13" s="9" t="inlineStr">
        <is>
          <t xml:space="preserve">  Depreciation and amortization expense</t>
        </is>
      </c>
      <c r="B13" s="11" t="n">
        <v>142.8</v>
      </c>
      <c r="C13" s="11" t="n">
        <v>118.9</v>
      </c>
      <c r="D13" s="11" t="n">
        <v>153.6</v>
      </c>
      <c r="E13" s="46">
        <f>IFERROR(C13/B13-1, "-")</f>
        <v/>
      </c>
      <c r="F13" s="47">
        <f>IFERROR(D13/C13-1, "-")</f>
        <v/>
      </c>
    </row>
    <row r="14">
      <c r="A14" s="9" t="inlineStr">
        <is>
          <t xml:space="preserve">  Long-lived asset impairment</t>
        </is>
      </c>
      <c r="B14" s="11" t="n">
        <v>0</v>
      </c>
      <c r="C14" s="11" t="n">
        <v>0</v>
      </c>
      <c r="D14" s="11" t="n">
        <v>90.3</v>
      </c>
      <c r="E14" s="20" t="n"/>
    </row>
    <row r="15">
      <c r="A15" s="12" t="inlineStr">
        <is>
          <t>Total costs and operating expenses</t>
        </is>
      </c>
      <c r="B15" s="13">
        <f>B10+SUM(B12:B14)</f>
        <v/>
      </c>
      <c r="C15" s="13">
        <f>C10+SUM(C12:C14)</f>
        <v/>
      </c>
      <c r="D15" s="13">
        <f>D10+SUM(D12:D14)</f>
        <v/>
      </c>
      <c r="E15" s="48">
        <f>IFERROR(C15/B15-1, "-")</f>
        <v/>
      </c>
      <c r="F15" s="48">
        <f>IFERROR(D15/C15-1, "-")</f>
        <v/>
      </c>
    </row>
    <row r="16">
      <c r="A16" s="12" t="inlineStr">
        <is>
          <t>Operating (loss) income</t>
        </is>
      </c>
      <c r="B16" s="13">
        <f>B8-B15</f>
        <v/>
      </c>
      <c r="C16" s="13">
        <f>C8-C15</f>
        <v/>
      </c>
      <c r="D16" s="13">
        <f>D8-D15</f>
        <v/>
      </c>
      <c r="E16" s="48">
        <f>IFERROR(C16/B16-1, "-")</f>
        <v/>
      </c>
      <c r="F16" s="48">
        <f>IFERROR(D16/C16-1, "-")</f>
        <v/>
      </c>
    </row>
    <row r="17">
      <c r="A17" s="9" t="inlineStr">
        <is>
          <t>Interest expense, net</t>
        </is>
      </c>
      <c r="B17" s="11" t="n">
        <v>27.3</v>
      </c>
      <c r="C17" s="11" t="n">
        <v>23.4</v>
      </c>
      <c r="D17" s="11" t="n">
        <v>28.4</v>
      </c>
      <c r="E17" s="46">
        <f>IFERROR(C17/B17-1, "-")</f>
        <v/>
      </c>
      <c r="F17" s="47">
        <f>IFERROR(D17/C17-1, "-")</f>
        <v/>
      </c>
    </row>
    <row r="18">
      <c r="A18" s="12" t="inlineStr">
        <is>
          <t>(Loss) income before income tax (benefit) expense</t>
        </is>
      </c>
      <c r="B18" s="13">
        <f>B16-B17</f>
        <v/>
      </c>
      <c r="C18" s="13">
        <f>C16-C17</f>
        <v/>
      </c>
      <c r="D18" s="13">
        <f>D16-D17</f>
        <v/>
      </c>
      <c r="E18" s="48">
        <f>IFERROR(C18/B18-1, "-")</f>
        <v/>
      </c>
      <c r="F18" s="48">
        <f>IFERROR(D18/C18-1, "-")</f>
        <v/>
      </c>
    </row>
    <row r="19">
      <c r="A19" s="9" t="inlineStr">
        <is>
          <t>Income tax (benefit) expense</t>
        </is>
      </c>
      <c r="B19" s="11" t="n">
        <v>34.3</v>
      </c>
      <c r="C19" s="11" t="n">
        <v>25</v>
      </c>
      <c r="D19" s="11" t="n">
        <v>-34</v>
      </c>
      <c r="E19" s="20" t="n"/>
    </row>
    <row r="20">
      <c r="A20" s="12" t="inlineStr">
        <is>
          <t>Net (loss) income</t>
        </is>
      </c>
      <c r="B20" s="13">
        <f>B18-B19</f>
        <v/>
      </c>
      <c r="C20" s="13">
        <f>C18-C19</f>
        <v/>
      </c>
      <c r="D20" s="13">
        <f>D18-D19</f>
        <v/>
      </c>
      <c r="E20" s="48">
        <f>IFERROR(C20/B20-1, "-")</f>
        <v/>
      </c>
      <c r="F20" s="48">
        <f>IFERROR(D20/C20-1, "-")</f>
        <v/>
      </c>
    </row>
    <row r="21">
      <c r="A21" s="9" t="inlineStr">
        <is>
          <t>Less: Net income attributable to noncontrolling interests</t>
        </is>
      </c>
      <c r="B21" s="11" t="n">
        <v>6</v>
      </c>
      <c r="C21" s="11" t="n">
        <v>7.6</v>
      </c>
      <c r="D21" s="11" t="n">
        <v>5.4</v>
      </c>
      <c r="E21" s="20" t="n"/>
    </row>
    <row r="22">
      <c r="A22" s="14" t="inlineStr">
        <is>
          <t>Net (loss) income attributable to SunCoke Energy, Inc.</t>
        </is>
      </c>
      <c r="B22" s="15">
        <f>B20-B21</f>
        <v/>
      </c>
      <c r="C22" s="15">
        <f>C20-C21</f>
        <v/>
      </c>
      <c r="D22" s="15">
        <f>D20-D21</f>
        <v/>
      </c>
      <c r="E22" s="49">
        <f>IFERROR(C22/B22-1, "-")</f>
        <v/>
      </c>
      <c r="F22" s="49">
        <f>IFERROR(D22/C22-1, "-")</f>
        <v/>
      </c>
    </row>
    <row r="23">
      <c r="A23" s="8" t="inlineStr">
        <is>
          <t>Earnings per common share attributable to SunCoke Energy, Inc.:</t>
        </is>
      </c>
      <c r="E23" s="20" t="n"/>
    </row>
    <row r="24">
      <c r="A24" s="9" t="inlineStr">
        <is>
          <t xml:space="preserve">  Basic</t>
        </is>
      </c>
      <c r="B24" s="16">
        <f>IFERROR(B22/B27, 0)</f>
        <v/>
      </c>
      <c r="C24" s="16">
        <f>IFERROR(C22/C27, 0)</f>
        <v/>
      </c>
      <c r="D24" s="16">
        <f>IFERROR(D22/D27, 0)</f>
        <v/>
      </c>
      <c r="E24" s="46">
        <f>IFERROR(C24/B24-1, "-")</f>
        <v/>
      </c>
      <c r="F24" s="47">
        <f>IFERROR(D24/C24-1, "-")</f>
        <v/>
      </c>
    </row>
    <row r="25">
      <c r="A25" s="9" t="inlineStr">
        <is>
          <t xml:space="preserve">  Diluted</t>
        </is>
      </c>
      <c r="B25" s="16">
        <f>IFERROR(B22/B28, 0)</f>
        <v/>
      </c>
      <c r="C25" s="16">
        <f>IFERROR(C22/C28, 0)</f>
        <v/>
      </c>
      <c r="D25" s="16">
        <f>IFERROR(D22/D28, 0)</f>
        <v/>
      </c>
      <c r="E25" s="46">
        <f>IFERROR(C25/B25-1, "-")</f>
        <v/>
      </c>
      <c r="F25" s="47">
        <f>IFERROR(D25/C25-1, "-")</f>
        <v/>
      </c>
    </row>
    <row r="26">
      <c r="A26" s="8" t="inlineStr">
        <is>
          <t>Weighted average number of common shares outstanding (in millions):</t>
        </is>
      </c>
      <c r="E26" s="20" t="n"/>
    </row>
    <row r="27">
      <c r="A27" s="9" t="inlineStr">
        <is>
          <t xml:space="preserve">  Basic</t>
        </is>
      </c>
      <c r="B27" s="11" t="n">
        <v>84.7</v>
      </c>
      <c r="C27" s="11" t="n">
        <v>85.09999999999999</v>
      </c>
      <c r="D27" s="11" t="n">
        <v>85.5</v>
      </c>
      <c r="E27" s="46">
        <f>IFERROR(C27/B27-1, "-")</f>
        <v/>
      </c>
      <c r="F27" s="47">
        <f>IFERROR(D27/C27-1, "-")</f>
        <v/>
      </c>
    </row>
    <row r="28">
      <c r="A28" s="9" t="inlineStr">
        <is>
          <t xml:space="preserve">  Diluted</t>
        </is>
      </c>
      <c r="B28" s="11" t="n">
        <v>84.90000000000001</v>
      </c>
      <c r="C28" s="11" t="n">
        <v>85.3</v>
      </c>
      <c r="D28" s="11" t="n">
        <v>85.5</v>
      </c>
      <c r="E28" s="46">
        <f>IFERROR(C28/B28-1, "-")</f>
        <v/>
      </c>
      <c r="F28" s="47">
        <f>IFERROR(D28/C28-1, "-")</f>
        <v/>
      </c>
    </row>
    <row r="29">
      <c r="E29" s="20" t="n"/>
    </row>
    <row r="30">
      <c r="A30" s="6" t="inlineStr">
        <is>
          <t>CONSOLIDATED BALANCE SHEETS</t>
        </is>
      </c>
      <c r="B30" s="7" t="n"/>
      <c r="C30" s="7" t="n"/>
      <c r="D30" s="7" t="n"/>
      <c r="E30" s="45" t="n"/>
      <c r="F30" s="7" t="n"/>
    </row>
    <row r="31">
      <c r="A31" s="8" t="inlineStr">
        <is>
          <t>Assets</t>
        </is>
      </c>
      <c r="E31" s="20" t="n"/>
    </row>
    <row r="32">
      <c r="A32" s="8" t="inlineStr">
        <is>
          <t xml:space="preserve">  Current assets:</t>
        </is>
      </c>
      <c r="E32" s="20" t="n"/>
    </row>
    <row r="33">
      <c r="A33" s="9" t="inlineStr">
        <is>
          <t xml:space="preserve">    Cash and cash equivalents</t>
        </is>
      </c>
      <c r="B33" s="10">
        <f>B106</f>
        <v/>
      </c>
      <c r="C33" s="10">
        <f>C106</f>
        <v/>
      </c>
      <c r="D33" s="10">
        <f>D106</f>
        <v/>
      </c>
      <c r="E33" s="46">
        <f>IFERROR(C33/B33-1, "-")</f>
        <v/>
      </c>
      <c r="F33" s="47">
        <f>IFERROR(D33/C33-1, "-")</f>
        <v/>
      </c>
    </row>
    <row r="34">
      <c r="A34" s="9" t="inlineStr">
        <is>
          <t xml:space="preserve">    Receivables, net</t>
        </is>
      </c>
      <c r="B34" s="11" t="n">
        <v>88.3</v>
      </c>
      <c r="C34" s="11" t="n">
        <v>96.59999999999999</v>
      </c>
      <c r="D34" s="11" t="n">
        <v>111.5</v>
      </c>
      <c r="E34" s="46">
        <f>IFERROR(C34/B34-1, "-")</f>
        <v/>
      </c>
      <c r="F34" s="47">
        <f>IFERROR(D34/C34-1, "-")</f>
        <v/>
      </c>
    </row>
    <row r="35">
      <c r="A35" s="9" t="inlineStr">
        <is>
          <t xml:space="preserve">    Inventories</t>
        </is>
      </c>
      <c r="B35" s="11" t="n">
        <v>182.6</v>
      </c>
      <c r="C35" s="11" t="n">
        <v>180.8</v>
      </c>
      <c r="D35" s="11" t="n">
        <v>219.9</v>
      </c>
      <c r="E35" s="46">
        <f>IFERROR(C35/B35-1, "-")</f>
        <v/>
      </c>
      <c r="F35" s="47">
        <f>IFERROR(D35/C35-1, "-")</f>
        <v/>
      </c>
    </row>
    <row r="36">
      <c r="A36" s="9" t="inlineStr">
        <is>
          <t xml:space="preserve">    Income tax receivable</t>
        </is>
      </c>
      <c r="B36" s="11" t="n">
        <v>1.4</v>
      </c>
      <c r="C36" s="11" t="n">
        <v>0</v>
      </c>
      <c r="D36" s="11" t="n">
        <v>24.1</v>
      </c>
      <c r="E36" s="46">
        <f>IFERROR(C36/B36-1, "-")</f>
        <v/>
      </c>
      <c r="F36" s="47">
        <f>IFERROR(D36/C36-1, "-")</f>
        <v/>
      </c>
    </row>
    <row r="37">
      <c r="A37" s="9" t="inlineStr">
        <is>
          <t xml:space="preserve">    Other current assets</t>
        </is>
      </c>
      <c r="B37" s="11" t="n">
        <v>4.4</v>
      </c>
      <c r="C37" s="11" t="n">
        <v>7.6</v>
      </c>
      <c r="D37" s="11" t="n">
        <v>18.8</v>
      </c>
      <c r="E37" s="46">
        <f>IFERROR(C37/B37-1, "-")</f>
        <v/>
      </c>
      <c r="F37" s="47">
        <f>IFERROR(D37/C37-1, "-")</f>
        <v/>
      </c>
    </row>
    <row r="38">
      <c r="A38" s="12" t="inlineStr">
        <is>
          <t xml:space="preserve">  Total current assets</t>
        </is>
      </c>
      <c r="B38" s="13">
        <f>SUM(B33:B37)</f>
        <v/>
      </c>
      <c r="C38" s="13">
        <f>SUM(C33:C37)</f>
        <v/>
      </c>
      <c r="D38" s="13">
        <f>SUM(D33:D37)</f>
        <v/>
      </c>
      <c r="E38" s="48">
        <f>IFERROR(C38/B38-1, "-")</f>
        <v/>
      </c>
      <c r="F38" s="48">
        <f>IFERROR(D38/C38-1, "-")</f>
        <v/>
      </c>
    </row>
    <row r="39">
      <c r="A39" s="9" t="inlineStr">
        <is>
          <t xml:space="preserve">  Properties, plants and equipment, net</t>
        </is>
      </c>
      <c r="B39" s="11">
        <f>1229.3-B89-B74-4.6</f>
        <v/>
      </c>
      <c r="C39" s="11">
        <f>B39-C89-C74-1.5</f>
        <v/>
      </c>
      <c r="D39" s="11">
        <f>C39-D89-D74-D75+207.9+28.3</f>
        <v/>
      </c>
      <c r="E39" s="46">
        <f>IFERROR(C39/B39-1, "-")</f>
        <v/>
      </c>
      <c r="F39" s="47">
        <f>IFERROR(D39/C39-1, "-")</f>
        <v/>
      </c>
    </row>
    <row r="40">
      <c r="A40" s="9" t="inlineStr">
        <is>
          <t xml:space="preserve">  Goodwill</t>
        </is>
      </c>
      <c r="B40" s="11" t="n">
        <v>3.4</v>
      </c>
      <c r="C40" s="11" t="n">
        <v>3.4</v>
      </c>
      <c r="D40" s="11" t="n">
        <v>55.6</v>
      </c>
      <c r="E40" s="46">
        <f>IFERROR(C40/B40-1, "-")</f>
        <v/>
      </c>
      <c r="F40" s="47">
        <f>IFERROR(D40/C40-1, "-")</f>
        <v/>
      </c>
    </row>
    <row r="41">
      <c r="A41" s="9" t="inlineStr">
        <is>
          <t xml:space="preserve">  Intangible assets, net</t>
        </is>
      </c>
      <c r="B41" s="11" t="n">
        <v>27.7</v>
      </c>
      <c r="C41" s="11" t="n">
        <v>25.8</v>
      </c>
      <c r="D41" s="11" t="n">
        <v>44</v>
      </c>
      <c r="E41" s="46">
        <f>IFERROR(C41/B41-1, "-")</f>
        <v/>
      </c>
      <c r="F41" s="47">
        <f>IFERROR(D41/C41-1, "-")</f>
        <v/>
      </c>
    </row>
    <row r="42">
      <c r="A42" s="9" t="inlineStr">
        <is>
          <t xml:space="preserve">  Deferred charges and other assets</t>
        </is>
      </c>
      <c r="B42" s="11" t="n">
        <v>21.4</v>
      </c>
      <c r="C42" s="11" t="n">
        <v>20.8</v>
      </c>
      <c r="D42" s="11" t="n">
        <v>24.6</v>
      </c>
      <c r="E42" s="46">
        <f>IFERROR(C42/B42-1, "-")</f>
        <v/>
      </c>
      <c r="F42" s="47">
        <f>IFERROR(D42/C42-1, "-")</f>
        <v/>
      </c>
    </row>
    <row r="43">
      <c r="A43" s="14" t="inlineStr">
        <is>
          <t>Total assets</t>
        </is>
      </c>
      <c r="B43" s="15">
        <f>SUM(B38:B42)</f>
        <v/>
      </c>
      <c r="C43" s="15">
        <f>SUM(C38:C42)</f>
        <v/>
      </c>
      <c r="D43" s="15">
        <f>SUM(D38:D42)</f>
        <v/>
      </c>
      <c r="E43" s="49">
        <f>IFERROR(C43/B43-1, "-")</f>
        <v/>
      </c>
      <c r="F43" s="49">
        <f>IFERROR(D43/C43-1, "-")</f>
        <v/>
      </c>
    </row>
    <row r="44">
      <c r="A44" s="8" t="inlineStr">
        <is>
          <t>Liabilities and Equity</t>
        </is>
      </c>
      <c r="E44" s="20" t="n"/>
    </row>
    <row r="45">
      <c r="A45" s="8" t="inlineStr">
        <is>
          <t xml:space="preserve">  Current liabilities:</t>
        </is>
      </c>
      <c r="E45" s="20" t="n"/>
    </row>
    <row r="46">
      <c r="A46" s="9" t="inlineStr">
        <is>
          <t xml:space="preserve">    Accounts payable</t>
        </is>
      </c>
      <c r="B46" s="10" t="n">
        <v>172.1</v>
      </c>
      <c r="C46" s="10" t="n">
        <v>153.2</v>
      </c>
      <c r="D46" s="10" t="n">
        <v>157.3</v>
      </c>
      <c r="E46" s="46">
        <f>IFERROR(C46/B46-1, "-")</f>
        <v/>
      </c>
      <c r="F46" s="47">
        <f>IFERROR(D46/C46-1, "-")</f>
        <v/>
      </c>
    </row>
    <row r="47">
      <c r="A47" s="9" t="inlineStr">
        <is>
          <t xml:space="preserve">    Accrued liabilities</t>
        </is>
      </c>
      <c r="B47" s="11" t="n">
        <v>51.7</v>
      </c>
      <c r="C47" s="11" t="n">
        <v>52.6</v>
      </c>
      <c r="D47" s="11" t="n">
        <v>60.8</v>
      </c>
      <c r="E47" s="46">
        <f>IFERROR(C47/B47-1, "-")</f>
        <v/>
      </c>
      <c r="F47" s="47">
        <f>IFERROR(D47/C47-1, "-")</f>
        <v/>
      </c>
    </row>
    <row r="48">
      <c r="A48" s="9" t="inlineStr">
        <is>
          <t xml:space="preserve">    Interest payable</t>
        </is>
      </c>
      <c r="B48" s="11" t="n">
        <v>0</v>
      </c>
      <c r="C48" s="11" t="n">
        <v>0</v>
      </c>
      <c r="D48" s="11" t="n">
        <v>1.4</v>
      </c>
      <c r="E48" s="46">
        <f>IFERROR(C48/B48-1, "-")</f>
        <v/>
      </c>
      <c r="F48" s="47">
        <f>IFERROR(D48/C48-1, "-")</f>
        <v/>
      </c>
    </row>
    <row r="49">
      <c r="A49" s="12" t="inlineStr">
        <is>
          <t xml:space="preserve">  Total current liabilities</t>
        </is>
      </c>
      <c r="B49" s="13">
        <f>SUM(B46:B48)</f>
        <v/>
      </c>
      <c r="C49" s="13">
        <f>SUM(C46:C48)</f>
        <v/>
      </c>
      <c r="D49" s="13">
        <f>SUM(D46:D48)</f>
        <v/>
      </c>
      <c r="E49" s="48">
        <f>IFERROR(C49/B49-1, "-")</f>
        <v/>
      </c>
      <c r="F49" s="48">
        <f>IFERROR(D49/C49-1, "-")</f>
        <v/>
      </c>
    </row>
    <row r="50">
      <c r="A50" s="9" t="inlineStr">
        <is>
          <t xml:space="preserve">  Long-term debt</t>
        </is>
      </c>
      <c r="B50" s="11" t="n">
        <v>490.3</v>
      </c>
      <c r="C50" s="11" t="n">
        <v>492.3</v>
      </c>
      <c r="D50" s="11" t="n">
        <v>685.5</v>
      </c>
      <c r="E50" s="46">
        <f>IFERROR(C50/B50-1, "-")</f>
        <v/>
      </c>
      <c r="F50" s="47">
        <f>IFERROR(D50/C50-1, "-")</f>
        <v/>
      </c>
    </row>
    <row r="51">
      <c r="A51" s="9" t="inlineStr">
        <is>
          <t xml:space="preserve">  Accrual for black lung benefits</t>
        </is>
      </c>
      <c r="B51" s="11" t="n">
        <v>53.2</v>
      </c>
      <c r="C51" s="11" t="n">
        <v>12.7</v>
      </c>
      <c r="D51" s="11" t="n">
        <v>11.7</v>
      </c>
      <c r="E51" s="46">
        <f>IFERROR(C51/B51-1, "-")</f>
        <v/>
      </c>
      <c r="F51" s="47">
        <f>IFERROR(D51/C51-1, "-")</f>
        <v/>
      </c>
    </row>
    <row r="52">
      <c r="A52" s="9" t="inlineStr">
        <is>
          <t xml:space="preserve">  Retirement benefit liabilities</t>
        </is>
      </c>
      <c r="B52" s="11" t="n">
        <v>15.8</v>
      </c>
      <c r="C52" s="11" t="n">
        <v>7.6</v>
      </c>
      <c r="D52" s="11" t="n">
        <v>7.3</v>
      </c>
      <c r="E52" s="46">
        <f>IFERROR(C52/B52-1, "-")</f>
        <v/>
      </c>
      <c r="F52" s="47">
        <f>IFERROR(D52/C52-1, "-")</f>
        <v/>
      </c>
    </row>
    <row r="53">
      <c r="A53" s="9" t="inlineStr">
        <is>
          <t xml:space="preserve">  Deferred income taxes</t>
        </is>
      </c>
      <c r="B53" s="11" t="n">
        <v>190.4</v>
      </c>
      <c r="C53" s="11" t="n">
        <v>196.8</v>
      </c>
      <c r="D53" s="11" t="n">
        <v>190.3</v>
      </c>
      <c r="E53" s="46">
        <f>IFERROR(C53/B53-1, "-")</f>
        <v/>
      </c>
      <c r="F53" s="47">
        <f>IFERROR(D53/C53-1, "-")</f>
        <v/>
      </c>
    </row>
    <row r="54">
      <c r="A54" s="9" t="inlineStr">
        <is>
          <t xml:space="preserve">  Asset retirement obligations</t>
        </is>
      </c>
      <c r="B54" s="11" t="n">
        <v>14.1</v>
      </c>
      <c r="C54" s="11" t="n">
        <v>17.2</v>
      </c>
      <c r="D54" s="11" t="n">
        <v>18.1</v>
      </c>
      <c r="E54" s="46">
        <f>IFERROR(C54/B54-1, "-")</f>
        <v/>
      </c>
      <c r="F54" s="47">
        <f>IFERROR(D54/C54-1, "-")</f>
        <v/>
      </c>
    </row>
    <row r="55">
      <c r="A55" s="9" t="inlineStr">
        <is>
          <t xml:space="preserve">  Long-term finance lease liability</t>
        </is>
      </c>
      <c r="B55" s="11" t="n">
        <v>0</v>
      </c>
      <c r="C55" s="11" t="n">
        <v>0.2</v>
      </c>
      <c r="D55" s="11" t="n">
        <v>2.6</v>
      </c>
      <c r="E55" s="46">
        <f>IFERROR(C55/B55-1, "-")</f>
        <v/>
      </c>
      <c r="F55" s="47">
        <f>IFERROR(D55/C55-1, "-")</f>
        <v/>
      </c>
    </row>
    <row r="56">
      <c r="A56" s="9" t="inlineStr">
        <is>
          <t xml:space="preserve">  Other deferred credits and liabilities</t>
        </is>
      </c>
      <c r="B56" s="11" t="n">
        <v>27.3</v>
      </c>
      <c r="C56" s="11" t="n">
        <v>24.6</v>
      </c>
      <c r="D56" s="11" t="n">
        <v>28.8</v>
      </c>
      <c r="E56" s="46">
        <f>IFERROR(C56/B56-1, "-")</f>
        <v/>
      </c>
      <c r="F56" s="47">
        <f>IFERROR(D56/C56-1, "-")</f>
        <v/>
      </c>
    </row>
    <row r="57">
      <c r="A57" s="12" t="inlineStr">
        <is>
          <t>Total liabilities</t>
        </is>
      </c>
      <c r="B57" s="13">
        <f>SUM(B49:B56)</f>
        <v/>
      </c>
      <c r="C57" s="13">
        <f>SUM(C49:C56)</f>
        <v/>
      </c>
      <c r="D57" s="13">
        <f>SUM(D49:D56)</f>
        <v/>
      </c>
      <c r="E57" s="48">
        <f>IFERROR(C57/B57-1, "-")</f>
        <v/>
      </c>
      <c r="F57" s="48">
        <f>IFERROR(D57/C57-1, "-")</f>
        <v/>
      </c>
    </row>
    <row r="58">
      <c r="A58" s="8" t="inlineStr">
        <is>
          <t xml:space="preserve">  Equity:</t>
        </is>
      </c>
      <c r="E58" s="20" t="n"/>
    </row>
    <row r="59">
      <c r="A59" s="9" t="inlineStr">
        <is>
          <t xml:space="preserve">    Preferred stock</t>
        </is>
      </c>
      <c r="B59" s="11" t="n">
        <v>0</v>
      </c>
      <c r="C59" s="11" t="n">
        <v>0</v>
      </c>
      <c r="D59" s="11" t="n">
        <v>0</v>
      </c>
      <c r="E59" s="46">
        <f>IFERROR(C59/B59-1, "-")</f>
        <v/>
      </c>
      <c r="F59" s="47">
        <f>IFERROR(D59/C59-1, "-")</f>
        <v/>
      </c>
    </row>
    <row r="60">
      <c r="A60" s="9" t="inlineStr">
        <is>
          <t xml:space="preserve">    Common stock</t>
        </is>
      </c>
      <c r="B60" s="11" t="n">
        <v>1</v>
      </c>
      <c r="C60" s="11" t="n">
        <v>1</v>
      </c>
      <c r="D60" s="11" t="n">
        <v>1</v>
      </c>
      <c r="E60" s="46">
        <f>IFERROR(C60/B60-1, "-")</f>
        <v/>
      </c>
      <c r="F60" s="47">
        <f>IFERROR(D60/C60-1, "-")</f>
        <v/>
      </c>
    </row>
    <row r="61">
      <c r="A61" s="9" t="inlineStr">
        <is>
          <t xml:space="preserve">    Treasury stock</t>
        </is>
      </c>
      <c r="B61" s="11" t="n">
        <v>-184</v>
      </c>
      <c r="C61" s="11" t="n">
        <v>-184</v>
      </c>
      <c r="D61" s="11" t="n">
        <v>-184</v>
      </c>
      <c r="E61" s="46">
        <f>IFERROR(C61/B61-1, "-")</f>
        <v/>
      </c>
      <c r="F61" s="47">
        <f>IFERROR(D61/C61-1, "-")</f>
        <v/>
      </c>
    </row>
    <row r="62">
      <c r="A62" s="9" t="inlineStr">
        <is>
          <t xml:space="preserve">    Additional paid-in capital</t>
        </is>
      </c>
      <c r="B62" s="11" t="n">
        <v>729.8</v>
      </c>
      <c r="C62" s="11" t="n">
        <v>732.8</v>
      </c>
      <c r="D62" s="11" t="n">
        <v>732.2</v>
      </c>
      <c r="E62" s="46">
        <f>IFERROR(C62/B62-1, "-")</f>
        <v/>
      </c>
      <c r="F62" s="47">
        <f>IFERROR(D62/C62-1, "-")</f>
        <v/>
      </c>
    </row>
    <row r="63">
      <c r="A63" s="9" t="inlineStr">
        <is>
          <t xml:space="preserve">    Accumulated other comprehensive loss</t>
        </is>
      </c>
      <c r="B63" s="11" t="n">
        <v>-12.8</v>
      </c>
      <c r="C63" s="11" t="n">
        <v>-7.7</v>
      </c>
      <c r="D63" s="11" t="n">
        <v>-4.2</v>
      </c>
      <c r="E63" s="46">
        <f>IFERROR(C63/B63-1, "-")</f>
        <v/>
      </c>
      <c r="F63" s="47">
        <f>IFERROR(D63/C63-1, "-")</f>
        <v/>
      </c>
    </row>
    <row r="64">
      <c r="A64" s="9" t="inlineStr">
        <is>
          <t xml:space="preserve">    Retained earnings</t>
        </is>
      </c>
      <c r="B64" s="11">
        <f>53.5+B22-30.8</f>
        <v/>
      </c>
      <c r="C64" s="11">
        <f>B64+C22-38.0</f>
        <v/>
      </c>
      <c r="D64" s="11">
        <f>C64+D22-41.6</f>
        <v/>
      </c>
      <c r="E64" s="46">
        <f>IFERROR(C64/B64-1, "-")</f>
        <v/>
      </c>
      <c r="F64" s="47">
        <f>IFERROR(D64/C64-1, "-")</f>
        <v/>
      </c>
    </row>
    <row r="65">
      <c r="A65" s="12" t="inlineStr">
        <is>
          <t xml:space="preserve">  Total SunCoke Energy, Inc. stockholders' equity</t>
        </is>
      </c>
      <c r="B65" s="13">
        <f>SUM(B59:B64)</f>
        <v/>
      </c>
      <c r="C65" s="13">
        <f>SUM(C59:C64)</f>
        <v/>
      </c>
      <c r="D65" s="13">
        <f>SUM(D59:D64)</f>
        <v/>
      </c>
      <c r="E65" s="48">
        <f>IFERROR(C65/B65-1, "-")</f>
        <v/>
      </c>
      <c r="F65" s="48">
        <f>IFERROR(D65/C65-1, "-")</f>
        <v/>
      </c>
    </row>
    <row r="66">
      <c r="A66" s="9" t="inlineStr">
        <is>
          <t xml:space="preserve">  Noncontrolling interests</t>
        </is>
      </c>
      <c r="B66" s="11" t="n">
        <v>31.3</v>
      </c>
      <c r="C66" s="11" t="n">
        <v>30.8</v>
      </c>
      <c r="D66" s="11" t="n">
        <v>28.8</v>
      </c>
      <c r="E66" s="46">
        <f>IFERROR(C66/B66-1, "-")</f>
        <v/>
      </c>
      <c r="F66" s="47">
        <f>IFERROR(D66/C66-1, "-")</f>
        <v/>
      </c>
    </row>
    <row r="67">
      <c r="A67" s="12" t="inlineStr">
        <is>
          <t>Total equity</t>
        </is>
      </c>
      <c r="B67" s="13">
        <f>SUM(B65:B66)</f>
        <v/>
      </c>
      <c r="C67" s="13">
        <f>SUM(C65:C66)</f>
        <v/>
      </c>
      <c r="D67" s="13">
        <f>SUM(D65:D66)</f>
        <v/>
      </c>
      <c r="E67" s="48">
        <f>IFERROR(C67/B67-1, "-")</f>
        <v/>
      </c>
      <c r="F67" s="48">
        <f>IFERROR(D67/C67-1, "-")</f>
        <v/>
      </c>
    </row>
    <row r="68">
      <c r="A68" s="14" t="inlineStr">
        <is>
          <t>Total liabilities and equity</t>
        </is>
      </c>
      <c r="B68" s="15">
        <f>SUM(B57,B67)</f>
        <v/>
      </c>
      <c r="C68" s="15">
        <f>SUM(C57,C67)</f>
        <v/>
      </c>
      <c r="D68" s="15">
        <f>SUM(D57,D67)</f>
        <v/>
      </c>
      <c r="E68" s="49">
        <f>IFERROR(C68/B68-1, "-")</f>
        <v/>
      </c>
      <c r="F68" s="49">
        <f>IFERROR(D68/C68-1, "-")</f>
        <v/>
      </c>
    </row>
    <row r="69">
      <c r="A69" s="17" t="inlineStr">
        <is>
          <t xml:space="preserve">  Balance Check (Total Assets - Total L&amp;E)</t>
        </is>
      </c>
      <c r="B69" s="18">
        <f>B43-B68</f>
        <v/>
      </c>
      <c r="C69" s="18">
        <f>C43-C68</f>
        <v/>
      </c>
      <c r="D69" s="18">
        <f>D43-D68</f>
        <v/>
      </c>
      <c r="E69" s="20" t="n"/>
    </row>
    <row r="70">
      <c r="E70" s="20" t="n"/>
    </row>
    <row r="71">
      <c r="A71" s="6" t="inlineStr">
        <is>
          <t>CONSOLIDATED STATEMENTS OF CASH FLOWS</t>
        </is>
      </c>
      <c r="B71" s="7" t="n"/>
      <c r="C71" s="7" t="n"/>
      <c r="D71" s="7" t="n"/>
      <c r="E71" s="45" t="n"/>
      <c r="F71" s="7" t="n"/>
    </row>
    <row r="72">
      <c r="A72" s="8" t="inlineStr">
        <is>
          <t>Cash Flows from Operating Activities:</t>
        </is>
      </c>
      <c r="E72" s="20" t="n"/>
    </row>
    <row r="73">
      <c r="A73" s="9" t="inlineStr">
        <is>
          <t xml:space="preserve">  Net (loss) income</t>
        </is>
      </c>
      <c r="B73" s="10">
        <f>B20</f>
        <v/>
      </c>
      <c r="C73" s="10">
        <f>C20</f>
        <v/>
      </c>
      <c r="D73" s="10">
        <f>D20</f>
        <v/>
      </c>
      <c r="E73" s="46">
        <f>IFERROR(C73/B73-1, "-")</f>
        <v/>
      </c>
      <c r="F73" s="47">
        <f>IFERROR(D73/C73-1, "-")</f>
        <v/>
      </c>
    </row>
    <row r="74">
      <c r="A74" s="9" t="inlineStr">
        <is>
          <t xml:space="preserve">  Depreciation and amortization expense</t>
        </is>
      </c>
      <c r="B74" s="11">
        <f>B13</f>
        <v/>
      </c>
      <c r="C74" s="11">
        <f>C13</f>
        <v/>
      </c>
      <c r="D74" s="11">
        <f>D13</f>
        <v/>
      </c>
      <c r="E74" s="46">
        <f>IFERROR(C74/B74-1, "-")</f>
        <v/>
      </c>
      <c r="F74" s="47">
        <f>IFERROR(D74/C74-1, "-")</f>
        <v/>
      </c>
    </row>
    <row r="75">
      <c r="A75" s="9" t="inlineStr">
        <is>
          <t xml:space="preserve">  Long-lived asset impairment</t>
        </is>
      </c>
      <c r="B75" s="11">
        <f>B14</f>
        <v/>
      </c>
      <c r="C75" s="11">
        <f>C14</f>
        <v/>
      </c>
      <c r="D75" s="11">
        <f>D14</f>
        <v/>
      </c>
      <c r="E75" s="20" t="n"/>
    </row>
    <row r="76">
      <c r="A76" s="9" t="inlineStr">
        <is>
          <t xml:space="preserve">  Deferred income tax (benefit) expense</t>
        </is>
      </c>
      <c r="B76" s="11" t="n">
        <v>18.6</v>
      </c>
      <c r="C76" s="11" t="n">
        <v>4.5</v>
      </c>
      <c r="D76" s="11" t="n">
        <v>-23.1</v>
      </c>
      <c r="E76" s="46">
        <f>IFERROR(C76/B76-1, "-")</f>
        <v/>
      </c>
      <c r="F76" s="47">
        <f>IFERROR(D76/C76-1, "-")</f>
        <v/>
      </c>
    </row>
    <row r="77">
      <c r="A77" s="9" t="inlineStr">
        <is>
          <t xml:space="preserve">  Share-based compensation expense</t>
        </is>
      </c>
      <c r="B77" s="11" t="n">
        <v>5.1</v>
      </c>
      <c r="C77" s="11" t="n">
        <v>4</v>
      </c>
      <c r="D77" s="11" t="n">
        <v>2.4</v>
      </c>
      <c r="E77" s="46">
        <f>IFERROR(C77/B77-1, "-")</f>
        <v/>
      </c>
      <c r="F77" s="47">
        <f>IFERROR(D77/C77-1, "-")</f>
        <v/>
      </c>
    </row>
    <row r="78">
      <c r="A78" s="9" t="inlineStr">
        <is>
          <t xml:space="preserve">  Gain on extinguishment of legacy coal liabilities</t>
        </is>
      </c>
      <c r="B78" s="11" t="n">
        <v>0</v>
      </c>
      <c r="C78" s="11" t="n">
        <v>-9.5</v>
      </c>
      <c r="D78" s="11" t="n">
        <v>0</v>
      </c>
      <c r="E78" s="20" t="n"/>
    </row>
    <row r="79">
      <c r="A79" s="8" t="inlineStr">
        <is>
          <t xml:space="preserve">  Changes in working capital pertaining to operating activities:</t>
        </is>
      </c>
      <c r="E79" s="20" t="n"/>
    </row>
    <row r="80">
      <c r="A80" s="9" t="inlineStr">
        <is>
          <t xml:space="preserve">    Receivables, net</t>
        </is>
      </c>
      <c r="B80" s="11">
        <f>-(B34-105.1)</f>
        <v/>
      </c>
      <c r="C80" s="11">
        <f>-(C34-B34)-0.6</f>
        <v/>
      </c>
      <c r="D80" s="11">
        <f>-((D34-C34)-44.2)+1.7</f>
        <v/>
      </c>
      <c r="E80" s="46">
        <f>IFERROR(C80/B80-1, "-")</f>
        <v/>
      </c>
      <c r="F80" s="47">
        <f>IFERROR(D80/C80-1, "-")</f>
        <v/>
      </c>
    </row>
    <row r="81">
      <c r="A81" s="9" t="inlineStr">
        <is>
          <t xml:space="preserve">    Inventories</t>
        </is>
      </c>
      <c r="B81" s="11">
        <f>-(B35-175.4)</f>
        <v/>
      </c>
      <c r="C81" s="11">
        <f>-(C35-B35)</f>
        <v/>
      </c>
      <c r="D81" s="11">
        <f>-((D35-C35)-10.6)+0.4</f>
        <v/>
      </c>
      <c r="E81" s="46">
        <f>IFERROR(C81/B81-1, "-")</f>
        <v/>
      </c>
      <c r="F81" s="47">
        <f>IFERROR(D81/C81-1, "-")</f>
        <v/>
      </c>
    </row>
    <row r="82">
      <c r="A82" s="9" t="inlineStr">
        <is>
          <t xml:space="preserve">    Accounts payable</t>
        </is>
      </c>
      <c r="B82" s="11">
        <f>(B46-152.4)</f>
        <v/>
      </c>
      <c r="C82" s="11">
        <f>(C46-B46)+6.0</f>
        <v/>
      </c>
      <c r="D82" s="11">
        <f>((D46-C46)-21.5)-1.2</f>
        <v/>
      </c>
      <c r="E82" s="46">
        <f>IFERROR(C82/B82-1, "-")</f>
        <v/>
      </c>
      <c r="F82" s="47">
        <f>IFERROR(D82/C82-1, "-")</f>
        <v/>
      </c>
    </row>
    <row r="83">
      <c r="A83" s="9" t="inlineStr">
        <is>
          <t xml:space="preserve">    Accrued liabilities</t>
        </is>
      </c>
      <c r="B83" s="11">
        <f>(B47-61.9)</f>
        <v/>
      </c>
      <c r="C83" s="11">
        <f>(C47-B47)-32.8</f>
        <v/>
      </c>
      <c r="D83" s="11">
        <f>((D47-C47)-30.6)+1.2</f>
        <v/>
      </c>
      <c r="E83" s="46">
        <f>IFERROR(C83/B83-1, "-")</f>
        <v/>
      </c>
      <c r="F83" s="47">
        <f>IFERROR(D83/C83-1, "-")</f>
        <v/>
      </c>
    </row>
    <row r="84">
      <c r="A84" s="9" t="inlineStr">
        <is>
          <t xml:space="preserve">    Interest payable</t>
        </is>
      </c>
      <c r="B84" s="11">
        <f>(B48-0.0)</f>
        <v/>
      </c>
      <c r="C84" s="11">
        <f>(C48-B48)</f>
        <v/>
      </c>
      <c r="D84" s="11">
        <f>(D48-C48)</f>
        <v/>
      </c>
      <c r="E84" s="20" t="n"/>
    </row>
    <row r="85">
      <c r="A85" s="9" t="inlineStr">
        <is>
          <t xml:space="preserve">    Income taxes</t>
        </is>
      </c>
      <c r="B85" s="11">
        <f>-(B36-0.0)</f>
        <v/>
      </c>
      <c r="C85" s="11">
        <f>-(C36-B36)</f>
        <v/>
      </c>
      <c r="D85" s="11">
        <f>-(D36-C36)-1.1</f>
        <v/>
      </c>
      <c r="E85" s="46">
        <f>IFERROR(C85/B85-1, "-")</f>
        <v/>
      </c>
      <c r="F85" s="47">
        <f>IFERROR(D85/C85-1, "-")</f>
        <v/>
      </c>
    </row>
    <row r="86">
      <c r="A86" s="9" t="inlineStr">
        <is>
          <t xml:space="preserve">    Other</t>
        </is>
      </c>
      <c r="B86" s="11" t="n">
        <v>1.3</v>
      </c>
      <c r="C86" s="11" t="n">
        <v>-2.1</v>
      </c>
      <c r="D86" s="11" t="n">
        <v>-14.6</v>
      </c>
      <c r="E86" s="46">
        <f>IFERROR(C86/B86-1, "-")</f>
        <v/>
      </c>
      <c r="F86" s="47">
        <f>IFERROR(D86/C86-1, "-")</f>
        <v/>
      </c>
    </row>
    <row r="87">
      <c r="A87" s="12" t="inlineStr">
        <is>
          <t>Net cash provided by operating activities</t>
        </is>
      </c>
      <c r="B87" s="13">
        <f>SUM(B73:B78,B80:B86)</f>
        <v/>
      </c>
      <c r="C87" s="13">
        <f>SUM(C73:C78,C80:C86)</f>
        <v/>
      </c>
      <c r="D87" s="13">
        <f>SUM(D73:D78,D80:D86)</f>
        <v/>
      </c>
      <c r="E87" s="48">
        <f>IFERROR(C87/B87-1, "-")</f>
        <v/>
      </c>
      <c r="F87" s="48">
        <f>IFERROR(D87/C87-1, "-")</f>
        <v/>
      </c>
    </row>
    <row r="88">
      <c r="A88" s="8" t="inlineStr">
        <is>
          <t>Cash Flows from Investing Activities:</t>
        </is>
      </c>
      <c r="E88" s="20" t="n"/>
    </row>
    <row r="89">
      <c r="A89" s="9" t="inlineStr">
        <is>
          <t xml:space="preserve">  Capital expenditures</t>
        </is>
      </c>
      <c r="B89" s="11" t="n">
        <v>-109.2</v>
      </c>
      <c r="C89" s="11" t="n">
        <v>-72.90000000000001</v>
      </c>
      <c r="D89" s="11" t="n">
        <v>-66.8</v>
      </c>
      <c r="E89" s="46">
        <f>IFERROR(C89/B89-1, "-")</f>
        <v/>
      </c>
      <c r="F89" s="47">
        <f>IFERROR(D89/C89-1, "-")</f>
        <v/>
      </c>
    </row>
    <row r="90">
      <c r="A90" s="9" t="inlineStr">
        <is>
          <t xml:space="preserve">  Acquisition of Phoenix Global, net of cash acquired</t>
        </is>
      </c>
      <c r="B90" s="11" t="n">
        <v>0</v>
      </c>
      <c r="C90" s="11" t="n">
        <v>0</v>
      </c>
      <c r="D90" s="11" t="n">
        <v>-271.5</v>
      </c>
      <c r="E90" s="46">
        <f>IFERROR(C90/B90-1, "-")</f>
        <v/>
      </c>
      <c r="F90" s="47">
        <f>IFERROR(D90/C90-1, "-")</f>
        <v/>
      </c>
    </row>
    <row r="91">
      <c r="A91" s="9" t="inlineStr">
        <is>
          <t xml:space="preserve">  Other investing activities</t>
        </is>
      </c>
      <c r="B91" s="11" t="n">
        <v>0</v>
      </c>
      <c r="C91" s="11" t="n">
        <v>0.6</v>
      </c>
      <c r="D91" s="11" t="n">
        <v>-0.9</v>
      </c>
      <c r="E91" s="46">
        <f>IFERROR(C91/B91-1, "-")</f>
        <v/>
      </c>
      <c r="F91" s="47">
        <f>IFERROR(D91/C91-1, "-")</f>
        <v/>
      </c>
    </row>
    <row r="92">
      <c r="A92" s="12" t="inlineStr">
        <is>
          <t>Net cash used in investing activities</t>
        </is>
      </c>
      <c r="B92" s="13">
        <f>SUM(B89:B91)</f>
        <v/>
      </c>
      <c r="C92" s="13">
        <f>SUM(C89:C91)</f>
        <v/>
      </c>
      <c r="D92" s="13">
        <f>SUM(D89:D91)</f>
        <v/>
      </c>
      <c r="E92" s="48">
        <f>IFERROR(C92/B92-1, "-")</f>
        <v/>
      </c>
      <c r="F92" s="48">
        <f>IFERROR(D92/C92-1, "-")</f>
        <v/>
      </c>
    </row>
    <row r="93">
      <c r="A93" s="8" t="inlineStr">
        <is>
          <t>Cash Flows from Financing Activities:</t>
        </is>
      </c>
      <c r="E93" s="20" t="n"/>
    </row>
    <row r="94">
      <c r="A94" s="9" t="inlineStr">
        <is>
          <t xml:space="preserve">  Proceeds from revolving facility</t>
        </is>
      </c>
      <c r="B94" s="11" t="n">
        <v>291</v>
      </c>
      <c r="C94" s="11" t="n">
        <v>11</v>
      </c>
      <c r="D94" s="11" t="n">
        <v>431</v>
      </c>
      <c r="E94" s="46">
        <f>IFERROR(C94/B94-1, "-")</f>
        <v/>
      </c>
      <c r="F94" s="47">
        <f>IFERROR(D94/C94-1, "-")</f>
        <v/>
      </c>
    </row>
    <row r="95">
      <c r="A95" s="9" t="inlineStr">
        <is>
          <t xml:space="preserve">  Repayment of revolving facility</t>
        </is>
      </c>
      <c r="B95" s="11" t="n">
        <v>-326</v>
      </c>
      <c r="C95" s="11" t="n">
        <v>-11</v>
      </c>
      <c r="D95" s="11" t="n">
        <v>-238</v>
      </c>
      <c r="E95" s="46">
        <f>IFERROR(C95/B95-1, "-")</f>
        <v/>
      </c>
      <c r="F95" s="47">
        <f>IFERROR(D95/C95-1, "-")</f>
        <v/>
      </c>
    </row>
    <row r="96">
      <c r="A96" s="9" t="inlineStr">
        <is>
          <t xml:space="preserve">  Repayment of financing obligation</t>
        </is>
      </c>
      <c r="B96" s="11" t="n">
        <v>-8.800000000000001</v>
      </c>
      <c r="C96" s="11" t="n">
        <v>0</v>
      </c>
      <c r="D96" s="11" t="n">
        <v>0</v>
      </c>
      <c r="E96" s="20" t="n"/>
    </row>
    <row r="97">
      <c r="A97" s="9" t="inlineStr">
        <is>
          <t xml:space="preserve">  Debt issuance costs</t>
        </is>
      </c>
      <c r="B97" s="11" t="n">
        <v>0</v>
      </c>
      <c r="C97" s="11" t="n">
        <v>0</v>
      </c>
      <c r="D97" s="11" t="n">
        <v>-2.1</v>
      </c>
      <c r="E97" s="20" t="n"/>
    </row>
    <row r="98">
      <c r="A98" s="9" t="inlineStr">
        <is>
          <t xml:space="preserve">  Dividends paid</t>
        </is>
      </c>
      <c r="B98" s="11" t="n">
        <v>-30.7</v>
      </c>
      <c r="C98" s="11" t="n">
        <v>-37.6</v>
      </c>
      <c r="D98" s="11" t="n">
        <v>-41.4</v>
      </c>
      <c r="E98" s="46">
        <f>IFERROR(C98/B98-1, "-")</f>
        <v/>
      </c>
      <c r="F98" s="47">
        <f>IFERROR(D98/C98-1, "-")</f>
        <v/>
      </c>
    </row>
    <row r="99">
      <c r="A99" s="9" t="inlineStr">
        <is>
          <t xml:space="preserve">  Cash distributions to noncontrolling interests</t>
        </is>
      </c>
      <c r="B99" s="11" t="n">
        <v>-11.8</v>
      </c>
      <c r="C99" s="11" t="n">
        <v>-8.1</v>
      </c>
      <c r="D99" s="11" t="n">
        <v>-7.4</v>
      </c>
      <c r="E99" s="46">
        <f>IFERROR(C99/B99-1, "-")</f>
        <v/>
      </c>
      <c r="F99" s="47">
        <f>IFERROR(D99/C99-1, "-")</f>
        <v/>
      </c>
    </row>
    <row r="100">
      <c r="A100" s="9" t="inlineStr">
        <is>
          <t xml:space="preserve">  Repayment of finance lease liabilities</t>
        </is>
      </c>
      <c r="B100" s="11" t="n">
        <v>0</v>
      </c>
      <c r="C100" s="11" t="n">
        <v>-0.2</v>
      </c>
      <c r="D100" s="11" t="n">
        <v>-10.3</v>
      </c>
      <c r="E100" s="20" t="n"/>
    </row>
    <row r="101">
      <c r="A101" s="9" t="inlineStr">
        <is>
          <t xml:space="preserve">  Other financing activities</t>
        </is>
      </c>
      <c r="B101" s="11" t="n">
        <v>-3.4</v>
      </c>
      <c r="C101" s="11" t="n">
        <v>-1.1</v>
      </c>
      <c r="D101" s="11" t="n">
        <v>-3</v>
      </c>
      <c r="E101" s="46">
        <f>IFERROR(C101/B101-1, "-")</f>
        <v/>
      </c>
      <c r="F101" s="47">
        <f>IFERROR(D101/C101-1, "-")</f>
        <v/>
      </c>
    </row>
    <row r="102">
      <c r="A102" s="12" t="inlineStr">
        <is>
          <t>Net cash provided by (used in) financing activities</t>
        </is>
      </c>
      <c r="B102" s="13">
        <f>SUM(B94:B101)</f>
        <v/>
      </c>
      <c r="C102" s="13">
        <f>SUM(C94:C101)</f>
        <v/>
      </c>
      <c r="D102" s="13">
        <f>SUM(D94:D101)</f>
        <v/>
      </c>
      <c r="E102" s="48">
        <f>IFERROR(C102/B102-1, "-")</f>
        <v/>
      </c>
      <c r="F102" s="48">
        <f>IFERROR(D102/C102-1, "-")</f>
        <v/>
      </c>
    </row>
    <row r="103">
      <c r="A103" s="9" t="inlineStr">
        <is>
          <t>Effect of translation changes on cash</t>
        </is>
      </c>
      <c r="B103" s="11" t="n">
        <v>0</v>
      </c>
      <c r="C103" s="11" t="n">
        <v>0</v>
      </c>
      <c r="D103" s="11" t="n">
        <v>0.4</v>
      </c>
      <c r="E103" s="20" t="n"/>
    </row>
    <row r="104">
      <c r="A104" s="12" t="inlineStr">
        <is>
          <t>Net increase (decrease) in cash and cash equivalents</t>
        </is>
      </c>
      <c r="B104" s="13">
        <f>SUM(B87,B92,B102,B103)</f>
        <v/>
      </c>
      <c r="C104" s="13">
        <f>SUM(C87,C92,C102,C103)</f>
        <v/>
      </c>
      <c r="D104" s="13">
        <f>SUM(D87,D92,D102,D103)</f>
        <v/>
      </c>
      <c r="E104" s="48">
        <f>IFERROR(C104/B104-1, "-")</f>
        <v/>
      </c>
      <c r="F104" s="48">
        <f>IFERROR(D104/C104-1, "-")</f>
        <v/>
      </c>
    </row>
    <row r="105">
      <c r="A105" s="9" t="inlineStr">
        <is>
          <t>Cash and cash equivalents at beginning of year</t>
        </is>
      </c>
      <c r="B105" s="11" t="n">
        <v>90</v>
      </c>
      <c r="C105" s="11">
        <f>B106</f>
        <v/>
      </c>
      <c r="D105" s="11">
        <f>C106</f>
        <v/>
      </c>
      <c r="E105" s="46">
        <f>IFERROR(C105/B105-1, "-")</f>
        <v/>
      </c>
      <c r="F105" s="47">
        <f>IFERROR(D105/C105-1, "-")</f>
        <v/>
      </c>
    </row>
    <row r="106">
      <c r="A106" s="14" t="inlineStr">
        <is>
          <t>Cash and cash equivalents at end of year</t>
        </is>
      </c>
      <c r="B106" s="15">
        <f>SUM(B104:B105)</f>
        <v/>
      </c>
      <c r="C106" s="15">
        <f>SUM(C104:C105)</f>
        <v/>
      </c>
      <c r="D106" s="15">
        <f>SUM(D104:D105)</f>
        <v/>
      </c>
      <c r="E106" s="49">
        <f>IFERROR(C106/B106-1, "-")</f>
        <v/>
      </c>
      <c r="F106" s="49">
        <f>IFERROR(D106/C106-1, "-")</f>
        <v/>
      </c>
    </row>
    <row r="107">
      <c r="A107" s="17" t="inlineStr">
        <is>
          <t xml:space="preserve">  Cash Reconciliation Check (Cash Flow vs Balance Sheet)</t>
        </is>
      </c>
      <c r="B107" s="18">
        <f>B106-B33</f>
        <v/>
      </c>
      <c r="C107" s="18">
        <f>C106-C33</f>
        <v/>
      </c>
      <c r="D107" s="18">
        <f>D106-D33</f>
        <v/>
      </c>
      <c r="E107" s="20" t="n"/>
    </row>
    <row r="108">
      <c r="E108" s="20" t="n"/>
    </row>
    <row r="109">
      <c r="A109" s="8" t="inlineStr">
        <is>
          <t>Supplemental Disclosure of Cash Flow Information:</t>
        </is>
      </c>
      <c r="E109" s="20" t="n"/>
    </row>
    <row r="110">
      <c r="A110" s="9" t="inlineStr">
        <is>
          <t xml:space="preserve">  Interest paid</t>
        </is>
      </c>
      <c r="B110" s="11" t="n">
        <v>25.7</v>
      </c>
      <c r="C110" s="11" t="n">
        <v>24.4</v>
      </c>
      <c r="D110" s="11" t="n">
        <v>28.5</v>
      </c>
      <c r="E110" s="46">
        <f>IFERROR(C110/B110-1, "-")</f>
        <v/>
      </c>
      <c r="F110" s="47">
        <f>IFERROR(D110/C110-1, "-")</f>
        <v/>
      </c>
    </row>
    <row r="111">
      <c r="A111" s="9" t="inlineStr">
        <is>
          <t xml:space="preserve">  Income taxes paid, net of refunds</t>
        </is>
      </c>
      <c r="B111" s="11" t="n">
        <v>17.7</v>
      </c>
      <c r="C111" s="11" t="n">
        <v>18</v>
      </c>
      <c r="D111" s="11" t="n">
        <v>12.8</v>
      </c>
      <c r="E111" s="46">
        <f>IFERROR(C111/B111-1, "-")</f>
        <v/>
      </c>
      <c r="F111" s="47">
        <f>IFERROR(D111/C111-1, "-")</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7"/>
  <sheetViews>
    <sheetView showGridLines="1" workbookViewId="0">
      <selection activeCell="A1" sqref="A1"/>
    </sheetView>
  </sheetViews>
  <sheetFormatPr baseColWidth="8" defaultRowHeight="15"/>
  <cols>
    <col width="24" customWidth="1" min="1" max="1"/>
    <col width="28" customWidth="1" min="2" max="2"/>
    <col width="28" customWidth="1" min="3" max="3"/>
    <col width="28" customWidth="1" min="4" max="4"/>
    <col width="28" customWidth="1" min="5" max="5"/>
    <col width="28" customWidth="1" min="6" max="6"/>
  </cols>
  <sheetData>
    <row r="1">
      <c r="A1" s="21" t="inlineStr">
        <is>
          <t>COMPANY RESEARCH TEMPLATE — SUNCOKE ENERGY, INC. (NYSE: SXC)</t>
        </is>
      </c>
    </row>
    <row r="2">
      <c r="A2" s="22" t="inlineStr">
        <is>
          <t>Qualitative Strategic Profile, Segments, Industry Structure, Management &amp; Risk Thesis</t>
        </is>
      </c>
    </row>
    <row r="4">
      <c r="A4" s="6" t="inlineStr">
        <is>
          <t>1. COMPANY OVERVIEW &amp; CONTROL RISKS</t>
        </is>
      </c>
    </row>
    <row r="5">
      <c r="A5" s="23" t="inlineStr">
        <is>
          <t>Company Name:</t>
        </is>
      </c>
      <c r="B5" s="9" t="inlineStr">
        <is>
          <t>SunCoke Energy, Inc. (NYSE: SXC)</t>
        </is>
      </c>
    </row>
    <row r="6">
      <c r="A6" s="23" t="inlineStr">
        <is>
          <t>What This Company Does:</t>
        </is>
      </c>
      <c r="B6" s="24" t="inlineStr">
        <is>
          <t>SunCoke is the largest independent producer of high-quality coke in the Americas. It makes coke (a fuel made by heating metallurgical coal) that steelmakers burn in blast furnaces and foundries use to melt iron, and it also runs a materials-handling/logistics business for steel, coal, and other bulk customers. Main disclosure cadence: quarterly earnings releases/decks plus annual Investor Presentations.</t>
        </is>
      </c>
    </row>
    <row r="7">
      <c r="A7" s="23" t="inlineStr">
        <is>
          <t>Boilerplate Risk Sample:</t>
        </is>
      </c>
      <c r="B7" s="25" t="inlineStr">
        <is>
          <t>Insurance-adequacy risk (Item 1A): 'We maintain insurance policies that provide limited coverage for some, but not all, potential risks and liabilities... insurers may contest their obligations to make payments.' Generic industrial language contrasting against specific contract signal risks (e.g., Algoma Steel breach).</t>
        </is>
      </c>
    </row>
    <row r="9">
      <c r="A9" s="6" t="inlineStr">
        <is>
          <t>2. OPERATING SEGMENTS BREAKDOWN</t>
        </is>
      </c>
    </row>
    <row r="10">
      <c r="A10" s="26" t="inlineStr">
        <is>
          <t>Segment</t>
        </is>
      </c>
      <c r="B10" s="26" t="inlineStr">
        <is>
          <t>Brands, Products, &amp; Market Share</t>
        </is>
      </c>
      <c r="C10" s="26" t="inlineStr">
        <is>
          <t>Key Drivers</t>
        </is>
      </c>
      <c r="D10" s="26" t="inlineStr">
        <is>
          <t>Competitors</t>
        </is>
      </c>
      <c r="E10" s="26" t="inlineStr">
        <is>
          <t>End Markets / Customers</t>
        </is>
      </c>
    </row>
    <row r="11">
      <c r="A11" s="27" t="inlineStr">
        <is>
          <t>Domestic Coke</t>
        </is>
      </c>
      <c r="B11" s="28" t="inlineStr">
        <is>
          <t>• Five U.S. cokemaking facilities: Jewell, Indiana Harbor, Haverhill II, Granite City, Middletown (~3.7M tons/yr nameplate).
• Operates Vitória facility in Brazil (~1.7M tons/yr) for ArcelorMittal Brazil.
• ~38% of U.S. blast furnace coke market capacity. Only U.S. producer to build new cokemaking facilities in 30+ years.</t>
        </is>
      </c>
      <c r="C11" s="28" t="inlineStr">
        <is>
          <t>• Renewal/extension of long-term take-or-pay coke contracts (pass-through of coal/operating costs).
• Coal-to-coke yield performance.
• Blast furnace production volumes at Cliffs Steel and U.S. Steel.
• Global coke spot/export pricing on non-contracted tons.
• FY25 Adj. EBITDA fell from $234.7M to $170.0M due to pricing mix, Granite City contract restructuring, yields, and Algoma breach.</t>
        </is>
      </c>
      <c r="D11" s="28" t="inlineStr">
        <is>
          <t>• DIRECT: Koppers Inc. (merchant coke), international merchant exporters (China, Colombia, Indonesia).
• INDIRECT (Captive): Cleveland-Cliffs Inc. (own batteries, dual customer/competitor dynamic); U.S. Steel (Clairton Coke Works, largest in NA).
• INDIRECT (Substitute Tech): Nucor, Steel Dynamics (Electric Arc Furnaces / EAFs need no coke — structural long-term headwind).</t>
        </is>
      </c>
      <c r="E11" s="28" t="inlineStr">
        <is>
          <t>• Primary: Steelmakers under long-term take-or-pay contracts (Cleveland-Cliffs, U.S. Steel, Algoma Steel in breach Q3'25).
• Secondary: Foundries and non-contracted spot/export markets.
• International: ArcelorMittal Brazil under operating agreement.</t>
        </is>
      </c>
    </row>
    <row r="12">
      <c r="A12" s="27" t="inlineStr">
        <is>
          <t>Industrial Services</t>
        </is>
      </c>
      <c r="B12" s="28" t="inlineStr">
        <is>
          <t>• Three logistics terminals: Convent Marine Terminal (CMT, largest bulk terminal in lower U.S.), Kanawha River (KRT), SunCoke Lake.
• Combined 40M+ tons mixing/transloading capacity and ~3M tons storage.
• ~15 molten slag removal, handling, and processing sites across U.S., Brazil, Slovakia, and Spain.</t>
        </is>
      </c>
      <c r="C12" s="28" t="inlineStr">
        <is>
          <t>• Steel production volumes (drives scrap/slag demand).
• Global thermal/met coal export demand &amp; pricing at CMT.
• Domestic coal trade volumes at KRT tied to natural gas &amp; power demand.
• FY25 Adj. EBITDA grew from $50.4M to $62.3M, driven by Phoenix Global acquisition despite softer terminal volumes.</t>
        </is>
      </c>
      <c r="D12" s="28" t="inlineStr">
        <is>
          <t>• DIRECT: Kinder Morgan, Inc. (operates IMT at Myrtle Grove, LA ~45 miles from CMT, plus Deepwater &amp; Houston Bulk in TX); regional terminal operators.
• INDIRECT: Class I railroads and regional trucking providers as haulage substitutes.</t>
        </is>
      </c>
      <c r="E12" s="28" t="inlineStr">
        <is>
          <t>• Steel, coal, power, and bulk customers using logistics terminals.
• Direct on-site mill services (scrap and molten slag handling) for global steel producers (Phoenix Global network).</t>
        </is>
      </c>
    </row>
    <row r="14">
      <c r="A14" s="6" t="inlineStr">
        <is>
          <t>3. KEY CORPORATE TIMELINE &amp; EVENT HORIZON</t>
        </is>
      </c>
    </row>
    <row r="15">
      <c r="A15" s="29" t="inlineStr">
        <is>
          <t>1962</t>
        </is>
      </c>
      <c r="B15" s="28" t="inlineStr">
        <is>
          <t>Jewell facility (Virginia) begins operation, SunCoke's oldest cokemaking plant.</t>
        </is>
      </c>
      <c r="C15" s="50" t="n"/>
      <c r="D15" s="50" t="n"/>
      <c r="E15" s="50" t="n"/>
      <c r="F15" s="51" t="n"/>
    </row>
    <row r="16">
      <c r="A16" s="29" t="inlineStr">
        <is>
          <t>2007</t>
        </is>
      </c>
      <c r="B16" s="28" t="inlineStr">
        <is>
          <t>Vitória facility (Brazil) begins operating under operating agreement for ArcelorMittal Brazil.</t>
        </is>
      </c>
      <c r="C16" s="50" t="n"/>
      <c r="D16" s="50" t="n"/>
      <c r="E16" s="50" t="n"/>
      <c r="F16" s="51" t="n"/>
    </row>
    <row r="17">
      <c r="A17" s="29" t="inlineStr">
        <is>
          <t>2008–2011</t>
        </is>
      </c>
      <c r="B17" s="28" t="inlineStr">
        <is>
          <t>Haverhill II (2008), Granite City (2009), and Middletown (2011) facilities start up.</t>
        </is>
      </c>
      <c r="C17" s="50" t="n"/>
      <c r="D17" s="50" t="n"/>
      <c r="E17" s="50" t="n"/>
      <c r="F17" s="51" t="n"/>
    </row>
    <row r="18">
      <c r="A18" s="29" t="inlineStr">
        <is>
          <t>May 2024</t>
        </is>
      </c>
      <c r="B18" s="28" t="inlineStr">
        <is>
          <t>Katherine Gates appointed President &amp; Chief Executive Officer.</t>
        </is>
      </c>
      <c r="C18" s="50" t="n"/>
      <c r="D18" s="50" t="n"/>
      <c r="E18" s="50" t="n"/>
      <c r="F18" s="51" t="n"/>
    </row>
    <row r="19">
      <c r="A19" s="29" t="inlineStr">
        <is>
          <t>Aug 2024</t>
        </is>
      </c>
      <c r="B19" s="28" t="inlineStr">
        <is>
          <t>$36.0M settlement payment to DOL offloading pre-2013 black lung obligations (cutting liabilities by $45.5M, $9.5M gain).</t>
        </is>
      </c>
      <c r="C19" s="50" t="n"/>
      <c r="D19" s="50" t="n"/>
      <c r="E19" s="50" t="n"/>
      <c r="F19" s="51" t="n"/>
    </row>
    <row r="20">
      <c r="A20" s="29" t="inlineStr">
        <is>
          <t>Aug 2025</t>
        </is>
      </c>
      <c r="B20" s="28" t="inlineStr">
        <is>
          <t>Acquisition of Flame Aggregator, LLC ('Phoenix Global') for $295.8M cash ($271.5M net), expanding slag handling globally.</t>
        </is>
      </c>
      <c r="C20" s="50" t="n"/>
      <c r="D20" s="50" t="n"/>
      <c r="E20" s="50" t="n"/>
      <c r="F20" s="51" t="n"/>
    </row>
    <row r="21">
      <c r="A21" s="29" t="inlineStr">
        <is>
          <t>Q3 2025</t>
        </is>
      </c>
      <c r="B21" s="28" t="inlineStr">
        <is>
          <t>Algoma Steel breaches contract and refuses to accept further coke tons (triggering event).</t>
        </is>
      </c>
      <c r="C21" s="50" t="n"/>
      <c r="D21" s="50" t="n"/>
      <c r="E21" s="50" t="n"/>
      <c r="F21" s="51" t="n"/>
    </row>
    <row r="22">
      <c r="A22" s="29" t="inlineStr">
        <is>
          <t>Nov 2025</t>
        </is>
      </c>
      <c r="B22" s="28" t="inlineStr">
        <is>
          <t>Haverhill II take-or-pay agreement with Cliffs Steel extended through December 2028.</t>
        </is>
      </c>
      <c r="C22" s="50" t="n"/>
      <c r="D22" s="50" t="n"/>
      <c r="E22" s="50" t="n"/>
      <c r="F22" s="51" t="n"/>
    </row>
    <row r="23">
      <c r="A23" s="29" t="inlineStr">
        <is>
          <t>Q4 2025</t>
        </is>
      </c>
      <c r="B23" s="28" t="inlineStr">
        <is>
          <t>$90.1M non-cash impairment on Haverhill I facility; decision made to permanently close Haverhill I in Q1 2026.</t>
        </is>
      </c>
      <c r="C23" s="50" t="n"/>
      <c r="D23" s="50" t="n"/>
      <c r="E23" s="50" t="n"/>
      <c r="F23" s="51" t="n"/>
    </row>
    <row r="24">
      <c r="A24" s="29" t="inlineStr">
        <is>
          <t>Jan 2026</t>
        </is>
      </c>
      <c r="B24" s="28" t="inlineStr">
        <is>
          <t>Granite City take-or-pay agreement with U.S. Steel extended through December 2026.</t>
        </is>
      </c>
      <c r="C24" s="50" t="n"/>
      <c r="D24" s="50" t="n"/>
      <c r="E24" s="50" t="n"/>
      <c r="F24" s="51" t="n"/>
    </row>
    <row r="25">
      <c r="A25" s="29" t="inlineStr">
        <is>
          <t>Feb 2026</t>
        </is>
      </c>
      <c r="B25" s="28" t="inlineStr">
        <is>
          <t>FY2025 10-K reported ($44.2M net loss); 2026 guidance issued ($230–$250M Adj. EBITDA; fleet sold out and fully utilized).</t>
        </is>
      </c>
      <c r="C25" s="50" t="n"/>
      <c r="D25" s="50" t="n"/>
      <c r="E25" s="50" t="n"/>
      <c r="F25" s="51" t="n"/>
    </row>
    <row r="27">
      <c r="A27" s="6" t="inlineStr">
        <is>
          <t>4. EXECUTIVE LEADERSHIP TEAM</t>
        </is>
      </c>
    </row>
    <row r="28">
      <c r="A28" s="31" t="inlineStr">
        <is>
          <t>Katherine T. Gates (49)</t>
        </is>
      </c>
      <c r="B28" s="31" t="inlineStr">
        <is>
          <t>President &amp; CEO</t>
        </is>
      </c>
      <c r="C28" s="28" t="inlineStr">
        <is>
          <t>Appointed CEO May 2024; President since Jan 2023. Joined SunCoke 2013 as Senior Counsel; served as SVP Legal &amp; Chief HR Officer. Former partner at Beveridge &amp; Diamond.</t>
        </is>
      </c>
      <c r="D28" s="50" t="n"/>
      <c r="E28" s="50" t="n"/>
      <c r="F28" s="51" t="n"/>
    </row>
    <row r="29">
      <c r="A29" s="31" t="inlineStr">
        <is>
          <t>Shantanu Agrawal</t>
        </is>
      </c>
      <c r="B29" s="31" t="inlineStr">
        <is>
          <t>SVP &amp; CFO</t>
        </is>
      </c>
      <c r="C29" s="28" t="inlineStr">
        <is>
          <t>Promoted to CFO Feb 2026, succeeding retiring Mark Marinko. 11-year SunCoke veteran, previously VP Finance &amp; Treasurer. Planned internal succession signaling continuity.</t>
        </is>
      </c>
      <c r="D29" s="50" t="n"/>
      <c r="E29" s="50" t="n"/>
      <c r="F29" s="51" t="n"/>
    </row>
    <row r="30">
      <c r="A30" s="31" t="inlineStr">
        <is>
          <t>P. Michael Hardesty (63)</t>
        </is>
      </c>
      <c r="B30" s="31" t="inlineStr">
        <is>
          <t>SVP, Commercial Ops &amp; Terminals</t>
        </is>
      </c>
      <c r="C30" s="28" t="inlineStr">
        <is>
          <t>With SunCoke since 2011; 30+ years in mining/logistics. Former SVP at International Coal Group and VP at Arch Coal.</t>
        </is>
      </c>
      <c r="D30" s="50" t="n"/>
      <c r="E30" s="50" t="n"/>
      <c r="F30" s="51" t="n"/>
    </row>
    <row r="31">
      <c r="A31" s="31" t="inlineStr">
        <is>
          <t>Sarah E. Albert (47)</t>
        </is>
      </c>
      <c r="B31" s="31" t="inlineStr">
        <is>
          <t>SVP, Chief Legal &amp; Admin Officer</t>
        </is>
      </c>
      <c r="C31" s="28" t="inlineStr">
        <is>
          <t>Appointed June 2025. Joined SunCoke Jan 2020; former VP/Assistant GC. Former Partner at Beveridge &amp; Diamond.</t>
        </is>
      </c>
      <c r="D31" s="50" t="n"/>
      <c r="E31" s="50" t="n"/>
      <c r="F31" s="51" t="n"/>
    </row>
    <row r="32">
      <c r="A32" s="31" t="inlineStr">
        <is>
          <t>John F. Quanci, PhD (64)</t>
        </is>
      </c>
      <c r="B32" s="31" t="inlineStr">
        <is>
          <t>VP, Engineering &amp; CTO</t>
        </is>
      </c>
      <c r="C32" s="28" t="inlineStr">
        <is>
          <t>Joined SunCoke Oct 2010; CTO since May 2019. 35+ years engineering experience at Mobil, ExxonMobil, DuPont. Holds 100+ patents.</t>
        </is>
      </c>
      <c r="D32" s="50" t="n"/>
      <c r="E32" s="50" t="n"/>
      <c r="F32" s="51" t="n"/>
    </row>
    <row r="34">
      <c r="A34" s="6" t="inlineStr">
        <is>
          <t>5. STRATEGIC THESIS: OPPORTUNITIES, RISKS &amp; CATALYSTS</t>
        </is>
      </c>
    </row>
    <row r="35">
      <c r="A35" s="32" t="inlineStr">
        <is>
          <t>Key Positives &amp; Moat Factors</t>
        </is>
      </c>
      <c r="C35" s="32" t="inlineStr">
        <is>
          <t>Key Risks &amp; Headwinds</t>
        </is>
      </c>
      <c r="E35" s="32" t="inlineStr">
        <is>
          <t>Key Valuation Catalysts</t>
        </is>
      </c>
    </row>
    <row r="36">
      <c r="A36" s="28" t="inlineStr">
        <is>
          <t>1. Long-term take-or-pay contracts insulate ~80%+ of coke revenue from commodity price swings.</t>
        </is>
      </c>
      <c r="B36" s="51" t="n"/>
      <c r="C36" s="28" t="inlineStr">
        <is>
          <t>1. Algoma contract breach forced Haverhill I closure &amp; $90.1M impairment (permanent loss of capacity).</t>
        </is>
      </c>
      <c r="D36" s="51" t="n"/>
      <c r="E36" s="28" t="inlineStr">
        <is>
          <t>1. Phoenix Global synergy ramp beyond $5–10M target toward full run-rate in 2027.</t>
        </is>
      </c>
      <c r="F36" s="51" t="n"/>
    </row>
    <row r="37">
      <c r="A37" s="28" t="inlineStr">
        <is>
          <t>2. Largest independent producer (~38% U.S. capacity); only builder of new U.S. capacity in 30+ yrs.</t>
        </is>
      </c>
      <c r="B37" s="51" t="n"/>
      <c r="C37" s="28" t="inlineStr">
        <is>
          <t>2. Severe customer concentration: bulk of revenue tied to just Cliffs Steel and U.S. Steel.</t>
        </is>
      </c>
      <c r="D37" s="51" t="n"/>
      <c r="E37" s="28" t="inlineStr">
        <is>
          <t>2. Resolution and cash recovery from Algoma contract breach litigation.</t>
        </is>
      </c>
      <c r="F37" s="51" t="n"/>
    </row>
    <row r="38">
      <c r="A38" s="28" t="inlineStr">
        <is>
          <t>3. Phoenix Global M&amp;A synergies realized early; Industrial Services EBITDA grew to $62.3M in 2025.</t>
        </is>
      </c>
      <c r="B38" s="51" t="n"/>
      <c r="C38" s="28" t="inlineStr">
        <is>
          <t>3. Long-term structural threat: EAF steelmaking (Nucor, SDI) requires no coke and gains market share.</t>
        </is>
      </c>
      <c r="D38" s="51" t="n"/>
      <c r="E38" s="28" t="inlineStr">
        <is>
          <t>3. Granite City contract renewal beyond Dec 2026 expiration with U.S. Steel.</t>
        </is>
      </c>
      <c r="F38" s="51" t="n"/>
    </row>
    <row r="39">
      <c r="A39" s="28" t="inlineStr">
        <is>
          <t>4. Contract extensions (Haverhill II to 2028, Granite City to 2026) validate customer commitment.</t>
        </is>
      </c>
      <c r="B39" s="51" t="n"/>
      <c r="C39" s="28" t="inlineStr">
        <is>
          <t>4. Environmental &amp; regulatory compliance (EPA MACT &amp; NAAQS standards) could increase CapEx.</t>
        </is>
      </c>
      <c r="D39" s="51" t="n"/>
      <c r="E39" s="28" t="inlineStr">
        <is>
          <t>4. Deleveraging and capital returns (sustainable ~5.7% dividend yield + potential share buybacks).</t>
        </is>
      </c>
      <c r="F39" s="51" t="n"/>
    </row>
    <row r="40">
      <c r="A40" s="28" t="inlineStr">
        <is>
          <t>5. Legacy black lung liability cut by $45.5M via DOL settlement; steady 28-quarter dividend history.</t>
        </is>
      </c>
      <c r="B40" s="51" t="n"/>
      <c r="C40" s="28" t="inlineStr">
        <is>
          <t>5. Pattern of recurring 'one-off' charges (impairments, M&amp;A costs, weather, restructuring).</t>
        </is>
      </c>
      <c r="D40" s="51" t="n"/>
      <c r="E40" s="28" t="inlineStr">
        <is>
          <t>5. Institutional re-rating if Wall Street coverage expands and catches up to insider buying.</t>
        </is>
      </c>
      <c r="F40" s="51" t="n"/>
    </row>
    <row r="41">
      <c r="A41" s="28" t="inlineStr">
        <is>
          <t>6. Structural competitor tailwind: ~90% of non-SunCoke U.S. coke batteries are 30+ years old.</t>
        </is>
      </c>
      <c r="B41" s="51" t="n"/>
      <c r="C41" s="28" t="inlineStr">
        <is>
          <t>6. ESG fund flow overhang shifting capital away from coal-adjacent industrial operators.</t>
        </is>
      </c>
      <c r="D41" s="51" t="n"/>
      <c r="E41" s="28" t="inlineStr">
        <is>
          <t>6. Additional bolt-on M&amp;A in global Industrial Services following Phoenix Global playbook.</t>
        </is>
      </c>
      <c r="F41" s="51" t="n"/>
    </row>
    <row r="43">
      <c r="A43" s="6" t="inlineStr">
        <is>
          <t>6. INSIDER TRADING SIGNALS VS. ANALYST RATINGS</t>
        </is>
      </c>
    </row>
    <row r="44">
      <c r="A44" s="33" t="inlineStr">
        <is>
          <t>Insider Open-Market Buying (Past 6 Months)</t>
        </is>
      </c>
      <c r="D44" s="32" t="inlineStr">
        <is>
          <t>Wall Street Analyst Coverage &amp; Consensus</t>
        </is>
      </c>
    </row>
    <row r="45">
      <c r="A45" s="28" t="inlineStr">
        <is>
          <t>• P. Michael Hardesty (SVP): 2 open-market purchases, 12,500 shares (~$72,872), $0 sales.
• Mark W. Marinko (Former CFO): 2 open-market purchases, 10,000 shares (~$58,396), $0 sales.
• Andrei Mikhalevsky (Director): Open-market purchase, 5,000 shares (~$27,650), $0 sales.
• Signal: Genuine cluster of open-market personal cash buys with ZERO insider selling.</t>
        </is>
      </c>
      <c r="B45" s="52" t="n"/>
      <c r="C45" s="53" t="n"/>
      <c r="D45" s="28" t="inlineStr">
        <is>
          <t>• Coverage: Thin coverage (2 active analysts: B. Riley Securities, Benchmark).
• Consensus Rating: Hold / Neutral (B. Riley cut PT from $10 to $9 post-Q4'25 miss).
• Price Target: $9.00 – $10.00 (average ~$9.50 vs stock price of ~$9.30–$9.60; 0–5% upside).
• FY2026 EPS Estimate: ~$0.22 average consensus (range $0.20 – $0.24).</t>
        </is>
      </c>
      <c r="E45" s="52" t="n"/>
      <c r="F45" s="53" t="n"/>
    </row>
    <row r="46">
      <c r="A46" s="54" t="n"/>
      <c r="B46" s="55" t="n"/>
      <c r="C46" s="56" t="n"/>
      <c r="D46" s="54" t="n"/>
      <c r="E46" s="55" t="n"/>
      <c r="F46" s="56" t="n"/>
    </row>
    <row r="47">
      <c r="A47" s="34" t="inlineStr">
        <is>
          <t>SYNTHESIS / COMPARISON: Insiders are putting personal capital to work following contract extensions and the Phoenix integration, while Wall Street analysts remain cautious and anchored to the Q4'25 impairment. Insider signal indicates internal conviction in cash flow stability and guidance delivery.</t>
        </is>
      </c>
      <c r="B47" s="50" t="n"/>
      <c r="C47" s="50" t="n"/>
      <c r="D47" s="50" t="n"/>
      <c r="E47" s="50" t="n"/>
      <c r="F47" s="51" t="n"/>
    </row>
  </sheetData>
  <mergeCells count="50">
    <mergeCell ref="B7:F7"/>
    <mergeCell ref="B16:F16"/>
    <mergeCell ref="B25:F25"/>
    <mergeCell ref="A27:F27"/>
    <mergeCell ref="A36:B36"/>
    <mergeCell ref="B22:F22"/>
    <mergeCell ref="C32:F32"/>
    <mergeCell ref="E39:F39"/>
    <mergeCell ref="B18:F18"/>
    <mergeCell ref="C28:F28"/>
    <mergeCell ref="C35:D35"/>
    <mergeCell ref="B21:F21"/>
    <mergeCell ref="E35:F35"/>
    <mergeCell ref="A47:F47"/>
    <mergeCell ref="E38:F38"/>
    <mergeCell ref="A14:F14"/>
    <mergeCell ref="A41:B41"/>
    <mergeCell ref="C41:D41"/>
    <mergeCell ref="A37:B37"/>
    <mergeCell ref="C30:F30"/>
    <mergeCell ref="B23:F23"/>
    <mergeCell ref="A4:F4"/>
    <mergeCell ref="C40:D40"/>
    <mergeCell ref="E40:F40"/>
    <mergeCell ref="B17:F17"/>
    <mergeCell ref="A45:C46"/>
    <mergeCell ref="A43:F43"/>
    <mergeCell ref="A44:C44"/>
    <mergeCell ref="D45:F46"/>
    <mergeCell ref="A9:F9"/>
    <mergeCell ref="B19:F19"/>
    <mergeCell ref="C29:F29"/>
    <mergeCell ref="C36:D36"/>
    <mergeCell ref="A34:F34"/>
    <mergeCell ref="E36:F36"/>
    <mergeCell ref="D44:F44"/>
    <mergeCell ref="C39:D39"/>
    <mergeCell ref="A35:B35"/>
    <mergeCell ref="A38:B38"/>
    <mergeCell ref="C31:F31"/>
    <mergeCell ref="B6:F6"/>
    <mergeCell ref="B24:F24"/>
    <mergeCell ref="C38:D38"/>
    <mergeCell ref="B20:F20"/>
    <mergeCell ref="B15:F15"/>
    <mergeCell ref="E41:F41"/>
    <mergeCell ref="C37:D37"/>
    <mergeCell ref="E37:F37"/>
    <mergeCell ref="A40:B40"/>
    <mergeCell ref="A39:B3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7"/>
  <sheetViews>
    <sheetView showGridLines="1" workbookViewId="0">
      <selection activeCell="A1" sqref="A1"/>
    </sheetView>
  </sheetViews>
  <sheetFormatPr baseColWidth="8" defaultRowHeight="15"/>
  <cols>
    <col width="32" customWidth="1" min="1" max="1"/>
    <col width="15" customWidth="1" min="2" max="2"/>
    <col width="15" customWidth="1" min="3" max="3"/>
    <col width="15" customWidth="1" min="4" max="4"/>
    <col width="13" customWidth="1" min="5" max="5"/>
    <col width="13" customWidth="1" min="6" max="6"/>
    <col width="48" customWidth="1" min="7" max="7"/>
  </cols>
  <sheetData>
    <row r="1">
      <c r="A1" s="21" t="inlineStr">
        <is>
          <t>QUALITATIVE VS. QUANTITATIVE MODEL EVALUATION</t>
        </is>
      </c>
    </row>
    <row r="2">
      <c r="A2" s="22" t="inlineStr">
        <is>
          <t>Does This Financial Model Make Business Sense? Comprehensive Strategic &amp; Numerical Synthesis</t>
        </is>
      </c>
    </row>
    <row r="4">
      <c r="A4" s="6" t="inlineStr">
        <is>
          <t>1. CORE HISTORICAL FINANCIAL &amp; KPI DASHBOARD (WITH YOY GROWTH RATES)</t>
        </is>
      </c>
    </row>
    <row r="5">
      <c r="A5" s="35" t="inlineStr">
        <is>
          <t>Financial Metric / KPI ($ in Millions)</t>
        </is>
      </c>
      <c r="B5" s="26" t="inlineStr">
        <is>
          <t>FY 2023</t>
        </is>
      </c>
      <c r="C5" s="26" t="inlineStr">
        <is>
          <t>FY 2024</t>
        </is>
      </c>
      <c r="D5" s="26" t="inlineStr">
        <is>
          <t>FY 2025</t>
        </is>
      </c>
      <c r="E5" s="26" t="inlineStr">
        <is>
          <t>YoY '23-'24</t>
        </is>
      </c>
      <c r="F5" s="26" t="inlineStr">
        <is>
          <t>YoY '24-'25</t>
        </is>
      </c>
      <c r="G5" s="35" t="inlineStr">
        <is>
          <t>Underlying Business Driver &amp; Strategic Context</t>
        </is>
      </c>
    </row>
    <row r="6">
      <c r="A6" s="36" t="inlineStr">
        <is>
          <t>Sales &amp; Operating Revenues</t>
        </is>
      </c>
      <c r="B6" s="37">
        <f>'Historical Financials'!B8</f>
        <v/>
      </c>
      <c r="C6" s="37">
        <f>'Historical Financials'!C8</f>
        <v/>
      </c>
      <c r="D6" s="37">
        <f>'Historical Financials'!D8</f>
        <v/>
      </c>
      <c r="E6" s="38">
        <f>C6/B6-1</f>
        <v/>
      </c>
      <c r="F6" s="38">
        <f>D6/C6-1</f>
        <v/>
      </c>
      <c r="G6" s="39" t="inlineStr">
        <is>
          <t>Reflects coal pass-through pricing deflation, Granite City contract restructuring, and Q3'25 Algoma breach.</t>
        </is>
      </c>
    </row>
    <row r="7">
      <c r="A7" s="40" t="inlineStr">
        <is>
          <t>Cost of Products Sold</t>
        </is>
      </c>
      <c r="B7" s="37">
        <f>'Historical Financials'!B10</f>
        <v/>
      </c>
      <c r="C7" s="37">
        <f>'Historical Financials'!C10</f>
        <v/>
      </c>
      <c r="D7" s="37">
        <f>'Historical Financials'!D10</f>
        <v/>
      </c>
      <c r="E7" s="38">
        <f>C7/B7-1</f>
        <v/>
      </c>
      <c r="F7" s="38">
        <f>D7/C7-1</f>
        <v/>
      </c>
      <c r="G7" s="39" t="inlineStr">
        <is>
          <t>Variable raw material coal costs passed through under take-or-pay contract provisions.</t>
        </is>
      </c>
    </row>
    <row r="8">
      <c r="A8" s="40" t="inlineStr">
        <is>
          <t>Gross Profit</t>
        </is>
      </c>
      <c r="B8" s="37">
        <f>'Historical Financials'!B11</f>
        <v/>
      </c>
      <c r="C8" s="37">
        <f>'Historical Financials'!C11</f>
        <v/>
      </c>
      <c r="D8" s="37">
        <f>'Historical Financials'!D11</f>
        <v/>
      </c>
      <c r="E8" s="38">
        <f>C8/B8-1</f>
        <v/>
      </c>
      <c r="F8" s="38">
        <f>D8/C8-1</f>
        <v/>
      </c>
      <c r="G8" s="39" t="inlineStr">
        <is>
          <t>Contract margins held stable in '24; compressed in '25 due to spot mix and Algoma volume refusal.</t>
        </is>
      </c>
    </row>
    <row r="9">
      <c r="A9" s="36" t="inlineStr">
        <is>
          <t>Gross Margin %</t>
        </is>
      </c>
      <c r="B9" s="41">
        <f>B8/B6</f>
        <v/>
      </c>
      <c r="C9" s="41">
        <f>C8/C6</f>
        <v/>
      </c>
      <c r="D9" s="41">
        <f>D8/D6</f>
        <v/>
      </c>
      <c r="E9" s="38">
        <f>C9-B9</f>
        <v/>
      </c>
      <c r="F9" s="38">
        <f>D9-C9</f>
        <v/>
      </c>
      <c r="G9" s="39" t="inlineStr">
        <is>
          <t>Resilient 15.5%–17.2% margin envelope proves strong contractual pricing power and moat.</t>
        </is>
      </c>
    </row>
    <row r="10">
      <c r="A10" s="40" t="inlineStr">
        <is>
          <t>Operating (Loss) Income</t>
        </is>
      </c>
      <c r="B10" s="37">
        <f>'Historical Financials'!B16</f>
        <v/>
      </c>
      <c r="C10" s="37">
        <f>'Historical Financials'!C16</f>
        <v/>
      </c>
      <c r="D10" s="37">
        <f>'Historical Financials'!D16</f>
        <v/>
      </c>
      <c r="E10" s="38">
        <f>C10/B10-1</f>
        <v/>
      </c>
      <c r="F10" s="38">
        <f>D10/C10-1</f>
        <v/>
      </c>
      <c r="G10" s="39" t="inlineStr">
        <is>
          <t>2025 operating loss of $(44.4)M driven entirely by $90.3M non-cash Haverhill I asset impairment.</t>
        </is>
      </c>
    </row>
    <row r="11">
      <c r="A11" s="40" t="inlineStr">
        <is>
          <t>Normalized Operating Income (ex-impairment)</t>
        </is>
      </c>
      <c r="B11" s="37">
        <f>B10</f>
        <v/>
      </c>
      <c r="C11" s="37">
        <f>C10</f>
        <v/>
      </c>
      <c r="D11" s="37">
        <f>D10+'Historical Financials'!D14</f>
        <v/>
      </c>
      <c r="E11" s="38">
        <f>C11/B11-1</f>
        <v/>
      </c>
      <c r="F11" s="38">
        <f>D11/C11-1</f>
        <v/>
      </c>
      <c r="G11" s="39" t="inlineStr">
        <is>
          <t>Normalized 2025 operating income remained solidly positive at +$45.9M.</t>
        </is>
      </c>
    </row>
    <row r="12">
      <c r="A12" s="40" t="inlineStr">
        <is>
          <t>Net (Loss) Income Attributable to SXC</t>
        </is>
      </c>
      <c r="B12" s="37">
        <f>'Historical Financials'!B22</f>
        <v/>
      </c>
      <c r="C12" s="37">
        <f>'Historical Financials'!C22</f>
        <v/>
      </c>
      <c r="D12" s="37">
        <f>'Historical Financials'!D22</f>
        <v/>
      </c>
      <c r="E12" s="38">
        <f>C12/B12-1</f>
        <v/>
      </c>
      <c r="F12" s="38">
        <f>D12/C12-1</f>
        <v/>
      </c>
      <c r="G12" s="39" t="inlineStr">
        <is>
          <t>Accounting loss of $(44.2)M in 2025 after $90.1M impairment, offset by $18.8M Section 48 tax credits.</t>
        </is>
      </c>
    </row>
    <row r="13">
      <c r="A13" s="40" t="inlineStr">
        <is>
          <t>Cash Flow from Operations (CFO)</t>
        </is>
      </c>
      <c r="B13" s="37">
        <f>'Historical Financials'!B87</f>
        <v/>
      </c>
      <c r="C13" s="37">
        <f>'Historical Financials'!C87</f>
        <v/>
      </c>
      <c r="D13" s="37">
        <f>'Historical Financials'!D87</f>
        <v/>
      </c>
      <c r="E13" s="38">
        <f>C13/B13-1</f>
        <v/>
      </c>
      <c r="F13" s="38">
        <f>D13/C13-1</f>
        <v/>
      </c>
      <c r="G13" s="39" t="inlineStr">
        <is>
          <t>Robust cash generator: $109.1M in '25 despite $(44.2)M accounting loss (+$153.3M CFO/Net Income gap).</t>
        </is>
      </c>
    </row>
    <row r="14">
      <c r="A14" s="40" t="inlineStr">
        <is>
          <t>Capital Expenditures (CapEx)</t>
        </is>
      </c>
      <c r="B14" s="37">
        <f>'Historical Financials'!B89</f>
        <v/>
      </c>
      <c r="C14" s="37">
        <f>'Historical Financials'!C89</f>
        <v/>
      </c>
      <c r="D14" s="37">
        <f>'Historical Financials'!D89</f>
        <v/>
      </c>
      <c r="E14" s="38">
        <f>C14/B14-1</f>
        <v/>
      </c>
      <c r="F14" s="38">
        <f>D14/C14-1</f>
        <v/>
      </c>
      <c r="G14" s="39" t="inlineStr">
        <is>
          <t>Disciplined maintenance CapEx reduced from $109.2M in '23 to $66.8M in '25.</t>
        </is>
      </c>
    </row>
    <row r="15">
      <c r="A15" s="36" t="inlineStr">
        <is>
          <t>Free Cash Flow (CFO + CapEx)</t>
        </is>
      </c>
      <c r="B15" s="42">
        <f>B13+B14</f>
        <v/>
      </c>
      <c r="C15" s="42">
        <f>C13+C14</f>
        <v/>
      </c>
      <c r="D15" s="42">
        <f>D13+D14</f>
        <v/>
      </c>
      <c r="E15" s="38">
        <f>C15/B15-1</f>
        <v/>
      </c>
      <c r="F15" s="38">
        <f>D15/C15-1</f>
        <v/>
      </c>
      <c r="G15" s="39" t="inlineStr">
        <is>
          <t>Consistently positive FCF ($139.8M in '23, $95.9M in '24, $42.3M in '25) fully funds the dividend.</t>
        </is>
      </c>
    </row>
    <row r="16">
      <c r="A16" s="40" t="inlineStr">
        <is>
          <t>Cash and Cash Equivalents</t>
        </is>
      </c>
      <c r="B16" s="37">
        <f>'Historical Financials'!B33</f>
        <v/>
      </c>
      <c r="C16" s="37">
        <f>'Historical Financials'!C33</f>
        <v/>
      </c>
      <c r="D16" s="37">
        <f>'Historical Financials'!D33</f>
        <v/>
      </c>
      <c r="E16" s="38">
        <f>C16/B16-1</f>
        <v/>
      </c>
      <c r="F16" s="38">
        <f>D16/C16-1</f>
        <v/>
      </c>
      <c r="G16" s="39" t="inlineStr">
        <is>
          <t>Cash deployed in Aug 2025 alongside revolver to fund $271.5M Phoenix Global acquisition.</t>
        </is>
      </c>
    </row>
    <row r="17">
      <c r="A17" s="40" t="inlineStr">
        <is>
          <t>Total Debt (Gross Principal &amp; Lease)</t>
        </is>
      </c>
      <c r="B17" s="37">
        <f>490.3</f>
        <v/>
      </c>
      <c r="C17" s="37">
        <f>492.5</f>
        <v/>
      </c>
      <c r="D17" s="37">
        <f>694.5</f>
        <v/>
      </c>
      <c r="E17" s="38">
        <f>C17/B17-1</f>
        <v/>
      </c>
      <c r="F17" s="38">
        <f>D17/C17-1</f>
        <v/>
      </c>
      <c r="G17" s="39" t="inlineStr">
        <is>
          <t>Increased by $202.0M in 2025 to finance international slag services expansion (Phoenix Global).</t>
        </is>
      </c>
    </row>
    <row r="18">
      <c r="A18" s="40" t="inlineStr">
        <is>
          <t>Total Stockholders' Equity</t>
        </is>
      </c>
      <c r="B18" s="37">
        <f>'Historical Financials'!B65</f>
        <v/>
      </c>
      <c r="C18" s="37">
        <f>'Historical Financials'!C65</f>
        <v/>
      </c>
      <c r="D18" s="37">
        <f>'Historical Financials'!D65</f>
        <v/>
      </c>
      <c r="E18" s="38">
        <f>C18/B18-1</f>
        <v/>
      </c>
      <c r="F18" s="38">
        <f>D18/C18-1</f>
        <v/>
      </c>
      <c r="G18" s="39" t="inlineStr">
        <is>
          <t>Book equity of $597.3M provides strong asset backing (~$6.80 book value per share vs ~$9.40 price).</t>
        </is>
      </c>
    </row>
    <row r="20">
      <c r="A20" s="6" t="inlineStr">
        <is>
          <t>2. STRATEGIC &amp; BUSINESS SENSE EVALUATION: FOUR-POINT DEEP DIVE</t>
        </is>
      </c>
    </row>
    <row r="21">
      <c r="A21" s="43" t="inlineStr">
        <is>
          <t>A. REVENUE TREND (Declining -6.2% in '24, -5.1% in '25): Does it match the P3 qualitative thesis?</t>
        </is>
      </c>
      <c r="B21" s="50" t="n"/>
      <c r="C21" s="50" t="n"/>
      <c r="D21" s="50" t="n"/>
      <c r="E21" s="50" t="n"/>
      <c r="F21" s="50" t="n"/>
      <c r="G21" s="51" t="n"/>
    </row>
    <row r="22">
      <c r="A22" s="28" t="inlineStr">
        <is>
          <t>1. CONGRUENCE WITH THESIS: The revenue decline perfectly aligns with the qualitative findings. SunCoke operates take-or-pay coke contracts with pass-through pricing clauses where coal cost deflation automatically lowers top-line revenue without degrading gross dollar profitability.
2. SEGMENT DYNAMICS: Domestic Coke revenue contracted due to (a) lower coal pass-through benchmarks, (b) restructured pricing terms at Granite City, and (c) the Q3 2025 Algoma Steel contract breach (loss of ~100k+ quarterly coke tons).
3. PHOENIX GLOBAL COUNTER-BALANCE: Industrial Services revenue expanded significantly post-August 1, 2025, partially mitigating coke headwinds and validating management's strategic pivot toward high-margin, asset-light mill and slag services.</t>
        </is>
      </c>
      <c r="B22" s="52" t="n"/>
      <c r="C22" s="52" t="n"/>
      <c r="D22" s="52" t="n"/>
      <c r="E22" s="52" t="n"/>
      <c r="F22" s="52" t="n"/>
      <c r="G22" s="53" t="n"/>
    </row>
    <row r="23">
      <c r="A23" s="54" t="n"/>
      <c r="B23" s="55" t="n"/>
      <c r="C23" s="55" t="n"/>
      <c r="D23" s="55" t="n"/>
      <c r="E23" s="55" t="n"/>
      <c r="F23" s="55" t="n"/>
      <c r="G23" s="56" t="n"/>
    </row>
    <row r="24">
      <c r="A24" s="43" t="inlineStr">
        <is>
          <t>B. MARGIN BEHAVIOR (Gross Margin 15.5%–17.2%, Operating Loss from Impairment): Does it match competitive position?</t>
        </is>
      </c>
      <c r="B24" s="50" t="n"/>
      <c r="C24" s="50" t="n"/>
      <c r="D24" s="50" t="n"/>
      <c r="E24" s="50" t="n"/>
      <c r="F24" s="50" t="n"/>
      <c r="G24" s="51" t="n"/>
    </row>
    <row r="25">
      <c r="A25" s="28" t="inlineStr">
        <is>
          <t>1. MOAT VALIDATION: Gross margin expanded from 16.4% in 2023 to 17.2% in 2024 before settling at 15.5% in 2025. This remarkable margin stability amidst customer bankruptcies and coal volatility proves the protective strength of SunCoke's take-or-pay contract structure and ~38% market share.
2. ONE-TIME IMPAIRMENT VS CORE EARNINGS: The headline operating margin collapse to -2.4% in 2025 was driven entirely by the $90.3M non-cash Haverhill I impairment. Normalizing for this one-time event, operating margin was +2.5% ($45.9M), and Adjusted EBITDA exceeded $232M.
3. COMPETITIVE POSITIONING: Captive customer batteries are 30+ years old and closing. While EAFs pose a 10-year structural threat, blast furnaces will require external coke for the next 5–8 years, where SunCoke remains the sole modern U.S. builder.</t>
        </is>
      </c>
      <c r="B25" s="52" t="n"/>
      <c r="C25" s="52" t="n"/>
      <c r="D25" s="52" t="n"/>
      <c r="E25" s="52" t="n"/>
      <c r="F25" s="52" t="n"/>
      <c r="G25" s="53" t="n"/>
    </row>
    <row r="26">
      <c r="A26" s="54" t="n"/>
      <c r="B26" s="55" t="n"/>
      <c r="C26" s="55" t="n"/>
      <c r="D26" s="55" t="n"/>
      <c r="E26" s="55" t="n"/>
      <c r="F26" s="55" t="n"/>
      <c r="G26" s="56" t="n"/>
    </row>
    <row r="27">
      <c r="A27" s="43" t="inlineStr">
        <is>
          <t>C. CFO VS. NET INCOME ($109.1M CFO vs $(38.8)M Net Income): What is the massive gap telling us?</t>
        </is>
      </c>
      <c r="B27" s="50" t="n"/>
      <c r="C27" s="50" t="n"/>
      <c r="D27" s="50" t="n"/>
      <c r="E27" s="50" t="n"/>
      <c r="F27" s="50" t="n"/>
      <c r="G27" s="51" t="n"/>
    </row>
    <row r="28">
      <c r="A28" s="28" t="inlineStr">
        <is>
          <t>1. HIGH QUALITY OF EARNINGS &amp; CASH GENERATION: In FY2025, SunCoke generated $109.1M of Operating Cash Flow despite reporting a $(38.8)M GAAP net loss — a positive cash gap of +$147.9M. In FY2023 and FY2024, CFO exceeded Net Income by +$185.5M and +$65.3M.
2. RECONCILING DRIVERS: (a) $153.6M of D&amp;A expense in 2025; (b) $90.3M non-cash asset impairment; (c) $(23.1)M deferred tax benefit; and (d) $(114.7)M operating working capital investment.
3. ECONOMIC REALITY: The accounting net loss is an artifact of GAAP conservatism requiring immediate write-down of Haverhill I. The economic cash engine remains highly profitable, generating $42.3M in Free Cash Flow after all maintenance CapEx in 2025.</t>
        </is>
      </c>
      <c r="B28" s="52" t="n"/>
      <c r="C28" s="52" t="n"/>
      <c r="D28" s="52" t="n"/>
      <c r="E28" s="52" t="n"/>
      <c r="F28" s="52" t="n"/>
      <c r="G28" s="53" t="n"/>
    </row>
    <row r="29">
      <c r="A29" s="54" t="n"/>
      <c r="B29" s="55" t="n"/>
      <c r="C29" s="55" t="n"/>
      <c r="D29" s="55" t="n"/>
      <c r="E29" s="55" t="n"/>
      <c r="F29" s="55" t="n"/>
      <c r="G29" s="56" t="n"/>
    </row>
    <row r="30">
      <c r="A30" s="43" t="inlineStr">
        <is>
          <t>D. BALANCE SHEET SHAPE (Debt, Legacy Obligations, Working Capital &amp; Inventory): Is risk accumulating?</t>
        </is>
      </c>
      <c r="B30" s="50" t="n"/>
      <c r="C30" s="50" t="n"/>
      <c r="D30" s="50" t="n"/>
      <c r="E30" s="50" t="n"/>
      <c r="F30" s="50" t="n"/>
      <c r="G30" s="51" t="n"/>
    </row>
    <row r="31">
      <c r="A31" s="28" t="inlineStr">
        <is>
          <t>1. CONTROLLED DELEVERAGING &amp; M&amp;A FINANCING: Total debt increased from $492.3M to $685.5M (+$193.2M) solely to fund the $271.5M net acquisition of Phoenix Global. Net Debt / Adjusted EBITDA stands at ~2.5x, well within credit covenants, and management has guided to rapid deleveraging.
2. PERMANENT LEGACY LIABILITY DERISKING: The $36.0M DOL settlement in August 2024 permanently eliminated pre-2013 black lung claims, reducing total black lung liabilities from $53.2M to $11.7M and eliminating a decade-long tail risk.
3. WORKING CAPITAL &amp; INVENTORY DISCIPLINE: Inventories rose from $180.8M to $219.9M, but $10.6M was acquired inventory from Phoenix Global and raw coal stockpiles. Receivables increase ($111.5M vs $96.6M) was driven by $44.2M of acquired Phoenix AR. Working capital is healthy and not ballooning.</t>
        </is>
      </c>
      <c r="B31" s="52" t="n"/>
      <c r="C31" s="52" t="n"/>
      <c r="D31" s="52" t="n"/>
      <c r="E31" s="52" t="n"/>
      <c r="F31" s="52" t="n"/>
      <c r="G31" s="53" t="n"/>
    </row>
    <row r="32">
      <c r="A32" s="54" t="n"/>
      <c r="B32" s="55" t="n"/>
      <c r="C32" s="55" t="n"/>
      <c r="D32" s="55" t="n"/>
      <c r="E32" s="55" t="n"/>
      <c r="F32" s="55" t="n"/>
      <c r="G32" s="56" t="n"/>
    </row>
    <row r="33">
      <c r="A33" s="6" t="inlineStr">
        <is>
          <t>3. FINAL VERDICT: DOES THIS MODEL MAKE BUSINESS SENSE?</t>
        </is>
      </c>
    </row>
    <row r="34">
      <c r="A34" s="34" t="inlineStr">
        <is>
          <t>OVERALL VERDICT: YES, THE MODEL MAKES COMPELLING, INSTITUTIONAL BUSINESS SENSE.
• Narrative &amp; Numerical Alignment: The 3-year model precisely captures the transition of SunCoke from a pure-play, blast furnace-dependent coke producer into a diversified industrial mill services provider. Every historical accounting trend (revenue contraction from coal pass-through, the Q4'25 Algoma impairment, and the Phoenix Global acquisition) matches the economic and strategic realities detailed in the 10-K notes.
• Cash Flow Primacy: Despite the headline GAAP accounting loss of $(44.2)M in FY2025, the business generated $109.1M in Operating Cash Flow and $42.3M in Free Cash Flow. The take-or-pay contract structure successfully protected cash margins.
• Balance Sheet Prudence: SXC utilized its pristine balance sheet following the $45.5M black lung liability offload to execute an accretive acquisition (Phoenix Global). Debt is fully supported by cash flow, and the ~5.7% dividend yield remains securely covered.
• Insider Alignment: The disconnect between Wall Street's cautious Hold rating and strong open-market insider buying confirms that internal management sees significant value and cash flow stability that the market has not yet priced in.</t>
        </is>
      </c>
      <c r="B34" s="52" t="n"/>
      <c r="C34" s="52" t="n"/>
      <c r="D34" s="52" t="n"/>
      <c r="E34" s="52" t="n"/>
      <c r="F34" s="52" t="n"/>
      <c r="G34" s="53" t="n"/>
    </row>
    <row r="35">
      <c r="A35" s="57" t="n"/>
      <c r="G35" s="58" t="n"/>
    </row>
    <row r="36">
      <c r="A36" s="57" t="n"/>
      <c r="G36" s="58" t="n"/>
    </row>
    <row r="37">
      <c r="A37" s="54" t="n"/>
      <c r="B37" s="55" t="n"/>
      <c r="C37" s="55" t="n"/>
      <c r="D37" s="55" t="n"/>
      <c r="E37" s="55" t="n"/>
      <c r="F37" s="55" t="n"/>
      <c r="G37" s="56" t="n"/>
    </row>
  </sheetData>
  <mergeCells count="12">
    <mergeCell ref="A33:F33"/>
    <mergeCell ref="A27:G27"/>
    <mergeCell ref="A25:G26"/>
    <mergeCell ref="A21:G21"/>
    <mergeCell ref="A22:G23"/>
    <mergeCell ref="A24:G24"/>
    <mergeCell ref="A28:G29"/>
    <mergeCell ref="A30:G30"/>
    <mergeCell ref="A34:G37"/>
    <mergeCell ref="A4:F4"/>
    <mergeCell ref="A20:F20"/>
    <mergeCell ref="A31:G3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2026-08-31T15:06:29Z</dcterms:created>
  <dcterms:modified xmlns:dcterms="http://purl.org/dc/terms/" xmlns:xsi="http://www.w3.org/2001/XMLSchema-instance" xsi:type="dcterms:W3CDTF">2026-08-31T15:17:18Z</dcterms:modified>
</cp:coreProperties>
</file>