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SS Model" sheetId="1" state="visible" r:id="rId3"/>
    <sheet name="Projection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5" authorId="0">
      <text>
        <r>
          <rPr>
            <sz val="10"/>
            <rFont val="Arial"/>
            <family val="2"/>
          </rPr>
          <t xml:space="preserve">Income statement charge. The cash flow add-back is smaller ($11mm/$36mm) because part of the charge was cash severance/exit costs.</t>
        </r>
      </text>
    </comment>
    <comment ref="A27" authorId="0">
      <text>
        <r>
          <rPr>
            <sz val="10"/>
            <rFont val="Arial"/>
            <family val="2"/>
          </rPr>
          <t xml:space="preserve">Reported EPS hardcoded: recomputing from the rounded share counts in the 10-K (e.g. 272/114 = $2.39) would not tie to the reported $2.38.</t>
        </r>
      </text>
    </comment>
    <comment ref="A32" authorId="0">
      <text>
        <r>
          <rPr>
            <sz val="10"/>
            <rFont val="Arial"/>
            <family val="2"/>
          </rPr>
          <t xml:space="preserve">FY2023 was a 53-week year, so FY2024 growth compares 52 weeks with 53.</t>
        </r>
      </text>
    </comment>
    <comment ref="A118" authorId="0">
      <text>
        <r>
          <rPr>
            <sz val="10"/>
            <rFont val="Arial"/>
            <family val="2"/>
          </rPr>
          <t xml:space="preserve">Dividends charged to retained earnings per the equity statement (p.44). Cash dividends paid on the cash flow statement are $56mm in FY2025; the equity statement records the $1mm difference against treasury stock.</t>
        </r>
      </text>
    </comment>
    <comment ref="A127" authorId="0">
      <text>
        <r>
          <rPr>
            <sz val="10"/>
            <rFont val="Arial"/>
            <family val="2"/>
          </rPr>
          <t xml:space="preserve">The 10-K has no PP&amp;E rollforward, so this residual is backed out of the reported balance. The 10-K discloses sales of property ($54mm proceeds, p.45) and $9mm of finance-lease asset disposals (Note 3) but not their book values, so the residual can't be split further.</t>
        </r>
      </text>
    </comment>
    <comment ref="B107" authorId="0">
      <text>
        <r>
          <rPr>
            <sz val="10"/>
            <rFont val="Arial"/>
            <family val="2"/>
          </rPr>
          <t xml:space="preserve">FY2023 beginning cash per 10-K cash flow statement, p.45.</t>
        </r>
      </text>
    </comment>
  </commentList>
</comments>
</file>

<file path=xl/sharedStrings.xml><?xml version="1.0" encoding="utf-8"?>
<sst xmlns="http://schemas.openxmlformats.org/spreadsheetml/2006/main" count="306" uniqueCount="230">
  <si>
    <t xml:space="preserve">Kohl's Corporation (NYSE: KSS) - Historical 3-Statement Model</t>
  </si>
  <si>
    <t xml:space="preserve">$ in millions, except per-share data. Source: Kohl's Form 10-K for fiscal year ended January 31, 2026 (dated March 19, 2026).</t>
  </si>
  <si>
    <t xml:space="preserve">Blue = hardcoded input from 10-K; Black = formula. Expenses and cash outflows shown as negatives.</t>
  </si>
  <si>
    <t xml:space="preserve">Fiscal year</t>
  </si>
  <si>
    <t xml:space="preserve">FY2023</t>
  </si>
  <si>
    <t xml:space="preserve">FY2024</t>
  </si>
  <si>
    <t xml:space="preserve">FY2025</t>
  </si>
  <si>
    <t xml:space="preserve">Fiscal year ended</t>
  </si>
  <si>
    <t xml:space="preserve">Feb 3, 2024 (53 wks)</t>
  </si>
  <si>
    <t xml:space="preserve">Feb 1, 2025 (52 wks)</t>
  </si>
  <si>
    <t xml:space="preserve">Jan 31, 2026 (52 wks)</t>
  </si>
  <si>
    <t xml:space="preserve">INCOME STATEMENT</t>
  </si>
  <si>
    <t xml:space="preserve">Source: Consolidated Statements of Operations, 10-K p.43</t>
  </si>
  <si>
    <t xml:space="preserve">Net sales</t>
  </si>
  <si>
    <t xml:space="preserve">Cost of merchandise sold</t>
  </si>
  <si>
    <t xml:space="preserve">Gross profit</t>
  </si>
  <si>
    <t xml:space="preserve">Other revenue</t>
  </si>
  <si>
    <t xml:space="preserve">Selling, general, and administrative</t>
  </si>
  <si>
    <t xml:space="preserve">Depreciation and amortization</t>
  </si>
  <si>
    <t xml:space="preserve">Impairments, store closing, and other costs</t>
  </si>
  <si>
    <t xml:space="preserve">Gain on legal settlement</t>
  </si>
  <si>
    <t xml:space="preserve">Operating income</t>
  </si>
  <si>
    <t xml:space="preserve">Interest expense, net</t>
  </si>
  <si>
    <t xml:space="preserve">Income before income taxes</t>
  </si>
  <si>
    <t xml:space="preserve">Provision for income taxes</t>
  </si>
  <si>
    <t xml:space="preserve">Net income</t>
  </si>
  <si>
    <t xml:space="preserve">Per-share data (EPS: p.43; shares: Note 1, p.52; dividends: p.44)</t>
  </si>
  <si>
    <t xml:space="preserve">Weighted-average shares - basic (mm)</t>
  </si>
  <si>
    <t xml:space="preserve">Weighted-average shares - diluted (mm)</t>
  </si>
  <si>
    <t xml:space="preserve">Basic EPS (as reported)</t>
  </si>
  <si>
    <t xml:space="preserve">Diluted EPS (as reported)</t>
  </si>
  <si>
    <t xml:space="preserve">Dividends paid per share</t>
  </si>
  <si>
    <t xml:space="preserve">Key metrics</t>
  </si>
  <si>
    <t xml:space="preserve">Total revenue (net sales + other revenue)</t>
  </si>
  <si>
    <t xml:space="preserve">Net sales growth</t>
  </si>
  <si>
    <t xml:space="preserve">Gross margin (% of net sales)</t>
  </si>
  <si>
    <t xml:space="preserve">Operating margin (% of total revenue)</t>
  </si>
  <si>
    <t xml:space="preserve">Effective tax rate</t>
  </si>
  <si>
    <t xml:space="preserve">BALANCE SHEET</t>
  </si>
  <si>
    <t xml:space="preserve">Source: Consolidated Balance Sheets, 10-K p.42</t>
  </si>
  <si>
    <t xml:space="preserve">FY2023 balance sheet (Feb 3, 2024) is not presented in this 10-K; see the FY2024 10-K.</t>
  </si>
  <si>
    <t xml:space="preserve">Assets</t>
  </si>
  <si>
    <t xml:space="preserve">Cash and cash equivalents</t>
  </si>
  <si>
    <t xml:space="preserve">Merchandise inventories</t>
  </si>
  <si>
    <t xml:space="preserve">Other current assets</t>
  </si>
  <si>
    <t xml:space="preserve">Total current assets</t>
  </si>
  <si>
    <t xml:space="preserve">Property and equipment, net</t>
  </si>
  <si>
    <t xml:space="preserve">Operating lease assets</t>
  </si>
  <si>
    <t xml:space="preserve">Other assets</t>
  </si>
  <si>
    <t xml:space="preserve">Total assets</t>
  </si>
  <si>
    <t xml:space="preserve">Liabilities</t>
  </si>
  <si>
    <t xml:space="preserve">Accounts payable</t>
  </si>
  <si>
    <t xml:space="preserve">Accrued liabilities</t>
  </si>
  <si>
    <t xml:space="preserve">Borrowings under revolving credit facility</t>
  </si>
  <si>
    <t xml:space="preserve">Current portion of long-term debt</t>
  </si>
  <si>
    <t xml:space="preserve">Current portion of finance leases and financing obligations</t>
  </si>
  <si>
    <t xml:space="preserve">Current portion of operating leases</t>
  </si>
  <si>
    <t xml:space="preserve">Total current liabilities</t>
  </si>
  <si>
    <t xml:space="preserve">Long-term debt</t>
  </si>
  <si>
    <t xml:space="preserve">Finance leases and financing obligations</t>
  </si>
  <si>
    <t xml:space="preserve">Operating leases</t>
  </si>
  <si>
    <t xml:space="preserve">Deferred income taxes</t>
  </si>
  <si>
    <t xml:space="preserve">Other long-term liabilities</t>
  </si>
  <si>
    <t xml:space="preserve">Total liabilities</t>
  </si>
  <si>
    <t xml:space="preserve">Shareholders' equity</t>
  </si>
  <si>
    <t xml:space="preserve">Common stock</t>
  </si>
  <si>
    <t xml:space="preserve">Paid-in capital</t>
  </si>
  <si>
    <t xml:space="preserve">Treasury stock, at cost</t>
  </si>
  <si>
    <t xml:space="preserve">Retained earnings</t>
  </si>
  <si>
    <t xml:space="preserve">Total shareholders' equity</t>
  </si>
  <si>
    <t xml:space="preserve">Total liabilities and shareholders' equity</t>
  </si>
  <si>
    <t xml:space="preserve">CASH FLOW STATEMENT</t>
  </si>
  <si>
    <t xml:space="preserve">Source: Consolidated Statements of Cash Flows, 10-K p.45</t>
  </si>
  <si>
    <t xml:space="preserve">Operating activities</t>
  </si>
  <si>
    <t xml:space="preserve">Share-based compensation</t>
  </si>
  <si>
    <t xml:space="preserve">Impairments, store closing, and other costs (non-cash)</t>
  </si>
  <si>
    <t xml:space="preserve">Non-cash lease expense</t>
  </si>
  <si>
    <t xml:space="preserve">Other non-cash items</t>
  </si>
  <si>
    <t xml:space="preserve">Change in merchandise inventories</t>
  </si>
  <si>
    <t xml:space="preserve">Change in other current and long-term assets</t>
  </si>
  <si>
    <t xml:space="preserve">Change in accounts payable</t>
  </si>
  <si>
    <t xml:space="preserve">Change in accrued and other long-term liabilities</t>
  </si>
  <si>
    <t xml:space="preserve">Change in operating lease liabilities</t>
  </si>
  <si>
    <t xml:space="preserve">Net cash provided by operating activities</t>
  </si>
  <si>
    <t xml:space="preserve">Investing activities</t>
  </si>
  <si>
    <t xml:space="preserve">Acquisition of property and equipment</t>
  </si>
  <si>
    <t xml:space="preserve">Proceeds from sale of property and equipment</t>
  </si>
  <si>
    <t xml:space="preserve">Other</t>
  </si>
  <si>
    <t xml:space="preserve">Net cash used in investing activities</t>
  </si>
  <si>
    <t xml:space="preserve">Financing activities</t>
  </si>
  <si>
    <t xml:space="preserve">Proceeds from issuance of debt, net of discount</t>
  </si>
  <si>
    <t xml:space="preserve">Deferred financing costs</t>
  </si>
  <si>
    <t xml:space="preserve">Net (repayments) borrowings under revolving credit facility</t>
  </si>
  <si>
    <t xml:space="preserve">Shares withheld for taxes on vested restricted shares</t>
  </si>
  <si>
    <t xml:space="preserve">Dividends paid</t>
  </si>
  <si>
    <t xml:space="preserve">Repayment of long-term borrowings</t>
  </si>
  <si>
    <t xml:space="preserve">Discount (premium paid) on redemption of debt</t>
  </si>
  <si>
    <t xml:space="preserve">Finance lease and financing obligation payments</t>
  </si>
  <si>
    <t xml:space="preserve">Proceeds from financing obligations</t>
  </si>
  <si>
    <t xml:space="preserve">Net cash used in financing activities</t>
  </si>
  <si>
    <t xml:space="preserve">Net increase (decrease) in cash and cash equivalents</t>
  </si>
  <si>
    <t xml:space="preserve">Cash and cash equivalents at beginning of period</t>
  </si>
  <si>
    <t xml:space="preserve">Cash and cash equivalents at end of period</t>
  </si>
  <si>
    <t xml:space="preserve">Supplemental (source: Consolidated Statements of Cash Flows, p.45)</t>
  </si>
  <si>
    <t xml:space="preserve">Interest paid, net of capitalized interest</t>
  </si>
  <si>
    <t xml:space="preserve">Free cash flow (operating cash flow + capex)</t>
  </si>
  <si>
    <t xml:space="preserve">SUPPORTING SCHEDULES &amp; LINKAGE CHECKS</t>
  </si>
  <si>
    <t xml:space="preserve">Schedules that tie the three statements together</t>
  </si>
  <si>
    <t xml:space="preserve">Retained earnings rollforward (source: Statement of Changes in Shareholders' Equity, 10-K p.44)</t>
  </si>
  <si>
    <t xml:space="preserve">Retained earnings, beginning of period</t>
  </si>
  <si>
    <t xml:space="preserve">Plus: net income (from income statement)</t>
  </si>
  <si>
    <t xml:space="preserve">Less: dividends charged to retained earnings</t>
  </si>
  <si>
    <t xml:space="preserve">Less: retirement of treasury stock</t>
  </si>
  <si>
    <t xml:space="preserve">Retained earnings, end of period</t>
  </si>
  <si>
    <t xml:space="preserve">PP&amp;E rollforward (FY2025 only; FY2024 opening PP&amp;E is not in this 10-K)</t>
  </si>
  <si>
    <t xml:space="preserve">PP&amp;E, net, beginning of period (prior-year balance sheet)</t>
  </si>
  <si>
    <t xml:space="preserve">Plus: capital expenditures (from cash flow statement)</t>
  </si>
  <si>
    <t xml:space="preserve">Less: depreciation and amortization (from cash flow statement)</t>
  </si>
  <si>
    <t xml:space="preserve">Less: asset impairments (from cash flow statement)</t>
  </si>
  <si>
    <t xml:space="preserve">Other: disposals, finance-lease asset changes (implied residual)</t>
  </si>
  <si>
    <t xml:space="preserve">PP&amp;E, net, end of period</t>
  </si>
  <si>
    <t xml:space="preserve">Memo: PP&amp;E, net as reported (10-K p.42)</t>
  </si>
  <si>
    <t xml:space="preserve">Working capital reconciliation, FY2025 (cash impact: + = source of cash)</t>
  </si>
  <si>
    <t xml:space="preserve">BS-implied</t>
  </si>
  <si>
    <t xml:space="preserve">CFS reported</t>
  </si>
  <si>
    <t xml:space="preserve">Difference</t>
  </si>
  <si>
    <t xml:space="preserve">Other current and long-term assets</t>
  </si>
  <si>
    <t xml:space="preserve">Accrued and other long-term liabilities</t>
  </si>
  <si>
    <t xml:space="preserve">Operating lease liabilities</t>
  </si>
  <si>
    <t xml:space="preserve">Total</t>
  </si>
  <si>
    <t xml:space="preserve">Differences are non-cash balance sheet movements the cash flow statement excludes: e.g. ~$40mm of new operating leases (non-cash, Note 3) and deferred tax asset movements reported in the deferred taxes line.</t>
  </si>
  <si>
    <t xml:space="preserve">Integrity checks (all should be 0)</t>
  </si>
  <si>
    <t xml:space="preserve">Balance sheet balances: total assets - total liabilities &amp; equity</t>
  </si>
  <si>
    <t xml:space="preserve">Memo: cash as reported on the balance sheet (10-K p.42)</t>
  </si>
  <si>
    <t xml:space="preserve">CFS ending cash - reported balance sheet cash</t>
  </si>
  <si>
    <t xml:space="preserve">Memo: retained earnings as reported (10-K p.42 / p.44)</t>
  </si>
  <si>
    <t xml:space="preserve">Retained earnings rollforward - reported retained earnings</t>
  </si>
  <si>
    <t xml:space="preserve">Kohl's Corporation (KSS) - 5-Year Projections</t>
  </si>
  <si>
    <t xml:space="preserve">$ in millions, except per-share data. FY2025A links to the 'KSS Model' tab (green). Blue cells with yellow fill are drivers you can change; everything else is a formula.</t>
  </si>
  <si>
    <t xml:space="preserve">Expenses and cash outflows shown as negatives, matching the historical tab.</t>
  </si>
  <si>
    <t xml:space="preserve">FY2025A</t>
  </si>
  <si>
    <t xml:space="preserve">FY2026E</t>
  </si>
  <si>
    <t xml:space="preserve">FY2027E</t>
  </si>
  <si>
    <t xml:space="preserve">FY2028E</t>
  </si>
  <si>
    <t xml:space="preserve">FY2029E</t>
  </si>
  <si>
    <t xml:space="preserve">FY2030E</t>
  </si>
  <si>
    <t xml:space="preserve">DRIVERS (your locked assumptions)</t>
  </si>
  <si>
    <t xml:space="preserve">FY26 guide -1.5% to flat; H1 FY26 -1.2%. Slow move to flat, then modest growth. (FY30 '01%' read as 1.0%.)</t>
  </si>
  <si>
    <t xml:space="preserve">FY26 includes ~+70bp one-time IEEPA tariff refunds, partly offset by new tariffs; 37.5% thereafter.</t>
  </si>
  <si>
    <t xml:space="preserve">Other revenue (% of net sales)</t>
  </si>
  <si>
    <t xml:space="preserve">Held flat: FY25 drop was partly an accounting reclass from SG&amp;A, not a trend.</t>
  </si>
  <si>
    <t xml:space="preserve">SG&amp;A (% of total revenue)</t>
  </si>
  <si>
    <t xml:space="preserve">Cost cuts roughly matching sales declines (FY25 +5bp, H1 FY26 +6bp); slight leverage as sales recover.</t>
  </si>
  <si>
    <t xml:space="preserve">D&amp;A (% of total revenue)</t>
  </si>
  <si>
    <t xml:space="preserve">Capex (~$375m) is about half of D&amp;A ($700m), so the asset base and D&amp;A keep shrinking.</t>
  </si>
  <si>
    <t xml:space="preserve">Capital expenditures (% of total revenue)</t>
  </si>
  <si>
    <t xml:space="preserve">FY26 = ~$384m, inside the $350-400m guidance. Sephora rollout and Etna fulfillment center are done.</t>
  </si>
  <si>
    <t xml:space="preserve">Inventory days (ending inventory / COGS x 365)</t>
  </si>
  <si>
    <t xml:space="preserve">Management is cutting inventory (-7% FY25, -3% Q2 FY26), so days held flat.</t>
  </si>
  <si>
    <t xml:space="preserve">Payable days (ending AP / COGS x 365)</t>
  </si>
  <si>
    <t xml:space="preserve">FY25 jump from 39 to 46 days looks like timing; 43 is the two-year average.</t>
  </si>
  <si>
    <t xml:space="preserve">Other assumptions (defaults you approved - change freely)</t>
  </si>
  <si>
    <t xml:space="preserve">21% federal + ~3% state. History (15.1%, 3.9%, 19.0%) distorted by credits on a small pretax base.</t>
  </si>
  <si>
    <t xml:space="preserve">Interest rate on opening debt incl. finance leases</t>
  </si>
  <si>
    <t xml:space="preserve">FY25 net interest / opening debt incl. finance leases (6.6%), held flat. Opening balances avoid a circular reference.</t>
  </si>
  <si>
    <t xml:space="preserve">Other current assets (% of net sales)</t>
  </si>
  <si>
    <t xml:space="preserve">Held at FY25 ratio.</t>
  </si>
  <si>
    <t xml:space="preserve">Accrued liabilities (% of total revenue)</t>
  </si>
  <si>
    <t xml:space="preserve">Share-based compensation ($mm)</t>
  </si>
  <si>
    <t xml:space="preserve">Held at FY25 level. Non-cash: added back in CFO and credited to paid-in capital.</t>
  </si>
  <si>
    <t xml:space="preserve">Dividends per share ($)</t>
  </si>
  <si>
    <t xml:space="preserve">$0.125 quarterly, as declared Feb and Aug 2026.</t>
  </si>
  <si>
    <t xml:space="preserve">Share repurchases ($mm)</t>
  </si>
  <si>
    <t xml:space="preserve">Up to $100m planned for 2026 (Q2 FY26 release). Management resumes buybacks only after leverage improves.</t>
  </si>
  <si>
    <t xml:space="preserve">Assumed repurchase price per share ($)</t>
  </si>
  <si>
    <t xml:space="preserve">KSS close on 14 Oct 2026 (investing.com). Converts buyback dollars into shares retired.</t>
  </si>
  <si>
    <t xml:space="preserve">Scheduled debt repayment ($mm)</t>
  </si>
  <si>
    <t xml:space="preserve">FY26: $113m open-market repurchases completed in 2026 (at face; ignores $15m discount). FY29: 7.25% notes. FY30: 10% secured notes.</t>
  </si>
  <si>
    <t xml:space="preserve">Debt due the following year (for current portion)</t>
  </si>
  <si>
    <t xml:space="preserve">Next year's repayment is shown as a current liability. FY30E uses the $425m May-2031 notes.</t>
  </si>
  <si>
    <t xml:space="preserve">Minimum cash balance ($mm)</t>
  </si>
  <si>
    <t xml:space="preserve">Revolver draws only if cash would fall below this. $1.5bn facility.</t>
  </si>
  <si>
    <t xml:space="preserve">Memo: total revenue</t>
  </si>
  <si>
    <t xml:space="preserve">Base for SG&amp;A, D&amp;A, capex and accrued liabilities.</t>
  </si>
  <si>
    <t xml:space="preserve">Impairments and legal settlement gain (one-offs)</t>
  </si>
  <si>
    <t xml:space="preserve">Non-recurring; projected at zero.</t>
  </si>
  <si>
    <t xml:space="preserve">Rate x opening revolver, debt and finance leases.</t>
  </si>
  <si>
    <t xml:space="preserve">Per-share data and margins</t>
  </si>
  <si>
    <t xml:space="preserve">Shares outstanding, end of year (mm, basic)</t>
  </si>
  <si>
    <t xml:space="preserve">FY25A uses FY25 weighted-average basic shares as the starting point.</t>
  </si>
  <si>
    <t xml:space="preserve">Weighted-average basic shares (mm)</t>
  </si>
  <si>
    <t xml:space="preserve">Average of opening and ending shares (a true average, not a SUM).</t>
  </si>
  <si>
    <t xml:space="preserve">Dilutive shares (mm)</t>
  </si>
  <si>
    <t xml:space="preserve">Held at FY25 level.</t>
  </si>
  <si>
    <t xml:space="preserve">Weighted-average diluted shares (mm)</t>
  </si>
  <si>
    <t xml:space="preserve">Diluted EPS</t>
  </si>
  <si>
    <t xml:space="preserve">FY25A computed from rounded shares ($2.39) vs $2.38 reported.</t>
  </si>
  <si>
    <t xml:space="preserve">An output, not a driver. FY26E should sit near Kohl's 3.5-4.0% adjusted guidance.</t>
  </si>
  <si>
    <t xml:space="preserve">Held flat (store base ~flat).</t>
  </si>
  <si>
    <t xml:space="preserve">Held flat.</t>
  </si>
  <si>
    <t xml:space="preserve">Draws only if cash before revolver falls below the minimum; repaid from excess cash.</t>
  </si>
  <si>
    <t xml:space="preserve">Finance and operating leases held flat (new leases offset payments).</t>
  </si>
  <si>
    <t xml:space="preserve">Opening total debt - repayments - amount reclassified to current.</t>
  </si>
  <si>
    <t xml:space="preserve">Change in other current assets</t>
  </si>
  <si>
    <t xml:space="preserve">Change in accrued liabilities</t>
  </si>
  <si>
    <t xml:space="preserve">Treasury stock purchases</t>
  </si>
  <si>
    <t xml:space="preserve">Memo: cash before revolver</t>
  </si>
  <si>
    <t xml:space="preserve">Opening cash + CFO + CFI + financing before revolver. Not part of the subtotal.</t>
  </si>
  <si>
    <t xml:space="preserve">Net borrowings (repayments) under revolving credit facility</t>
  </si>
  <si>
    <t xml:space="preserve">SUPPORTING SCHEDULES</t>
  </si>
  <si>
    <t xml:space="preserve">PP&amp;E rollforward</t>
  </si>
  <si>
    <t xml:space="preserve">PP&amp;E, net, beginning of year</t>
  </si>
  <si>
    <t xml:space="preserve">Plus: capital expenditures</t>
  </si>
  <si>
    <t xml:space="preserve">Less: depreciation and amortization</t>
  </si>
  <si>
    <t xml:space="preserve">PP&amp;E, net, end of year</t>
  </si>
  <si>
    <t xml:space="preserve">Retained earnings rollforward</t>
  </si>
  <si>
    <t xml:space="preserve">Retained earnings, beginning of year</t>
  </si>
  <si>
    <t xml:space="preserve">Plus: net income</t>
  </si>
  <si>
    <t xml:space="preserve">Less: dividends</t>
  </si>
  <si>
    <t xml:space="preserve">Retained earnings, end of year</t>
  </si>
  <si>
    <t xml:space="preserve">Debt summary</t>
  </si>
  <si>
    <t xml:space="preserve">Total debt (revolver + notes)</t>
  </si>
  <si>
    <t xml:space="preserve">EBITDA</t>
  </si>
  <si>
    <t xml:space="preserve">Total debt / EBITDA (x)</t>
  </si>
  <si>
    <t xml:space="preserve">Free cash flow (CFO + capex)</t>
  </si>
  <si>
    <t xml:space="preserve">TIE-OUT CHECKS (all should be 0)</t>
  </si>
  <si>
    <t xml:space="preserve">Cash: balance sheet cash - CFS ending cash</t>
  </si>
  <si>
    <t xml:space="preserve">Retained earnings: BS - (opening + net income - dividends)</t>
  </si>
  <si>
    <t xml:space="preserve">Opening balance sheet ties to 'KSS Model' FY2025 (total assets)</t>
  </si>
  <si>
    <t xml:space="preserve">All checks pass (1 = yes)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</si>
</sst>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;\(#,##0\);\-"/>
    <numFmt numFmtId="166" formatCode="\$0.00;&quot;($&quot;0.00\);\-"/>
    <numFmt numFmtId="167" formatCode="0.0%;\(0.0%\);\-"/>
    <numFmt numFmtId="168" formatCode="0.0%;\(0.0%\);\-"/>
    <numFmt numFmtId="169" formatCode="0.0"/>
    <numFmt numFmtId="170" formatCode="#,##0;\(#,##0\);\-"/>
    <numFmt numFmtId="171" formatCode="\$0.00;&quot;($&quot;0.00\);\-"/>
    <numFmt numFmtId="172" formatCode="0.0\x"/>
    <numFmt numFmtId="173" formatCode="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name val="Arial"/>
      <family val="0"/>
      <charset val="1"/>
    </font>
    <font>
      <sz val="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sz val="10"/>
      <name val="Arial"/>
      <family val="2"/>
    </font>
    <font>
      <sz val="10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1F3864"/>
        <bgColor rgb="FF333333"/>
      </patternFill>
    </fill>
    <fill>
      <patternFill patternType="solid">
        <fgColor rgb="FFFFF2CC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thin"/>
      <bottom style="double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5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4" min="2" style="1" width="16"/>
    <col collapsed="false" customWidth="true" hidden="false" outlineLevel="0" max="5" min="5" style="1" width="60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3" customFormat="false" ht="15" hidden="false" customHeight="true" outlineLevel="0" collapsed="false">
      <c r="A3" s="3" t="s">
        <v>2</v>
      </c>
    </row>
    <row r="5" customFormat="false" ht="15" hidden="false" customHeight="true" outlineLevel="0" collapsed="false">
      <c r="A5" s="4" t="s">
        <v>3</v>
      </c>
      <c r="B5" s="5" t="s">
        <v>4</v>
      </c>
      <c r="C5" s="5" t="s">
        <v>5</v>
      </c>
      <c r="D5" s="5" t="s">
        <v>6</v>
      </c>
    </row>
    <row r="6" customFormat="false" ht="15" hidden="false" customHeight="true" outlineLevel="0" collapsed="false">
      <c r="A6" s="6" t="s">
        <v>7</v>
      </c>
      <c r="B6" s="7" t="s">
        <v>8</v>
      </c>
      <c r="C6" s="7" t="s">
        <v>9</v>
      </c>
      <c r="D6" s="7" t="s">
        <v>10</v>
      </c>
    </row>
    <row r="8" customFormat="false" ht="15" hidden="false" customHeight="true" outlineLevel="0" collapsed="false">
      <c r="A8" s="8" t="s">
        <v>11</v>
      </c>
      <c r="B8" s="8"/>
      <c r="C8" s="8"/>
      <c r="D8" s="8"/>
      <c r="E8" s="3" t="s">
        <v>12</v>
      </c>
    </row>
    <row r="9" customFormat="false" ht="15" hidden="false" customHeight="true" outlineLevel="0" collapsed="false">
      <c r="A9" s="9" t="s">
        <v>13</v>
      </c>
      <c r="B9" s="10" t="n">
        <v>16586</v>
      </c>
      <c r="C9" s="10" t="n">
        <v>15385</v>
      </c>
      <c r="D9" s="10" t="n">
        <v>14775</v>
      </c>
    </row>
    <row r="10" customFormat="false" ht="15" hidden="false" customHeight="true" outlineLevel="0" collapsed="false">
      <c r="A10" s="9" t="s">
        <v>14</v>
      </c>
      <c r="B10" s="10" t="n">
        <v>-10498</v>
      </c>
      <c r="C10" s="10" t="n">
        <v>-9661</v>
      </c>
      <c r="D10" s="10" t="n">
        <v>-9228</v>
      </c>
    </row>
    <row r="11" customFormat="false" ht="15" hidden="false" customHeight="true" outlineLevel="0" collapsed="false">
      <c r="A11" s="11" t="s">
        <v>15</v>
      </c>
      <c r="B11" s="12" t="n">
        <f aca="false">SUM(B9,B10)</f>
        <v>6088</v>
      </c>
      <c r="C11" s="12" t="n">
        <f aca="false">SUM(C9,C10)</f>
        <v>5724</v>
      </c>
      <c r="D11" s="12" t="n">
        <f aca="false">SUM(D9,D10)</f>
        <v>5547</v>
      </c>
    </row>
    <row r="12" customFormat="false" ht="15" hidden="false" customHeight="true" outlineLevel="0" collapsed="false">
      <c r="A12" s="9" t="s">
        <v>16</v>
      </c>
      <c r="B12" s="10" t="n">
        <v>890</v>
      </c>
      <c r="C12" s="10" t="n">
        <v>836</v>
      </c>
      <c r="D12" s="10" t="n">
        <v>752</v>
      </c>
    </row>
    <row r="13" customFormat="false" ht="15" hidden="false" customHeight="true" outlineLevel="0" collapsed="false">
      <c r="A13" s="9" t="s">
        <v>17</v>
      </c>
      <c r="B13" s="10" t="n">
        <v>-5512</v>
      </c>
      <c r="C13" s="10" t="n">
        <v>-5308</v>
      </c>
      <c r="D13" s="10" t="n">
        <v>-5089</v>
      </c>
    </row>
    <row r="14" customFormat="false" ht="15" hidden="false" customHeight="true" outlineLevel="0" collapsed="false">
      <c r="A14" s="9" t="s">
        <v>18</v>
      </c>
      <c r="B14" s="10" t="n">
        <v>-749</v>
      </c>
      <c r="C14" s="10" t="n">
        <v>-743</v>
      </c>
      <c r="D14" s="10" t="n">
        <v>-700</v>
      </c>
    </row>
    <row r="15" customFormat="false" ht="15" hidden="false" customHeight="true" outlineLevel="0" collapsed="false">
      <c r="A15" s="9" t="s">
        <v>19</v>
      </c>
      <c r="B15" s="10" t="n">
        <v>0</v>
      </c>
      <c r="C15" s="10" t="n">
        <v>-76</v>
      </c>
      <c r="D15" s="10" t="n">
        <v>-15</v>
      </c>
    </row>
    <row r="16" customFormat="false" ht="15" hidden="false" customHeight="true" outlineLevel="0" collapsed="false">
      <c r="A16" s="9" t="s">
        <v>20</v>
      </c>
      <c r="B16" s="10" t="n">
        <v>0</v>
      </c>
      <c r="C16" s="10" t="n">
        <v>0</v>
      </c>
      <c r="D16" s="10" t="n">
        <v>129</v>
      </c>
    </row>
    <row r="17" customFormat="false" ht="15" hidden="false" customHeight="true" outlineLevel="0" collapsed="false">
      <c r="A17" s="11" t="s">
        <v>21</v>
      </c>
      <c r="B17" s="12" t="n">
        <f aca="false">SUM(B11,B12,B13,B14,B15,B16)</f>
        <v>717</v>
      </c>
      <c r="C17" s="12" t="n">
        <f aca="false">SUM(C11,C12,C13,C14,C15,C16)</f>
        <v>433</v>
      </c>
      <c r="D17" s="12" t="n">
        <f aca="false">SUM(D11,D12,D13,D14,D15,D16)</f>
        <v>624</v>
      </c>
    </row>
    <row r="18" customFormat="false" ht="15" hidden="false" customHeight="true" outlineLevel="0" collapsed="false">
      <c r="A18" s="9" t="s">
        <v>22</v>
      </c>
      <c r="B18" s="10" t="n">
        <v>-344</v>
      </c>
      <c r="C18" s="10" t="n">
        <v>-319</v>
      </c>
      <c r="D18" s="10" t="n">
        <v>-288</v>
      </c>
    </row>
    <row r="19" customFormat="false" ht="15" hidden="false" customHeight="true" outlineLevel="0" collapsed="false">
      <c r="A19" s="11" t="s">
        <v>23</v>
      </c>
      <c r="B19" s="12" t="n">
        <f aca="false">SUM(B17,B18)</f>
        <v>373</v>
      </c>
      <c r="C19" s="12" t="n">
        <f aca="false">SUM(C17,C18)</f>
        <v>114</v>
      </c>
      <c r="D19" s="12" t="n">
        <f aca="false">SUM(D17,D18)</f>
        <v>336</v>
      </c>
    </row>
    <row r="20" customFormat="false" ht="15" hidden="false" customHeight="true" outlineLevel="0" collapsed="false">
      <c r="A20" s="9" t="s">
        <v>24</v>
      </c>
      <c r="B20" s="10" t="n">
        <v>-56</v>
      </c>
      <c r="C20" s="10" t="n">
        <v>-5</v>
      </c>
      <c r="D20" s="10" t="n">
        <v>-64</v>
      </c>
    </row>
    <row r="21" customFormat="false" ht="15" hidden="false" customHeight="true" outlineLevel="0" collapsed="false">
      <c r="A21" s="11" t="s">
        <v>25</v>
      </c>
      <c r="B21" s="13" t="n">
        <f aca="false">SUM(B19,B20)</f>
        <v>317</v>
      </c>
      <c r="C21" s="13" t="n">
        <f aca="false">SUM(C19,C20)</f>
        <v>109</v>
      </c>
      <c r="D21" s="13" t="n">
        <f aca="false">SUM(D19,D20)</f>
        <v>272</v>
      </c>
    </row>
    <row r="23" customFormat="false" ht="15" hidden="false" customHeight="true" outlineLevel="0" collapsed="false">
      <c r="A23" s="11" t="s">
        <v>26</v>
      </c>
    </row>
    <row r="24" customFormat="false" ht="15" hidden="false" customHeight="true" outlineLevel="0" collapsed="false">
      <c r="A24" s="9" t="s">
        <v>27</v>
      </c>
      <c r="B24" s="10" t="n">
        <v>110</v>
      </c>
      <c r="C24" s="10" t="n">
        <v>111</v>
      </c>
      <c r="D24" s="10" t="n">
        <v>112</v>
      </c>
    </row>
    <row r="25" customFormat="false" ht="15" hidden="false" customHeight="true" outlineLevel="0" collapsed="false">
      <c r="A25" s="9" t="s">
        <v>28</v>
      </c>
      <c r="B25" s="10" t="n">
        <v>111</v>
      </c>
      <c r="C25" s="10" t="n">
        <v>112</v>
      </c>
      <c r="D25" s="10" t="n">
        <v>114</v>
      </c>
    </row>
    <row r="26" customFormat="false" ht="15" hidden="false" customHeight="true" outlineLevel="0" collapsed="false">
      <c r="A26" s="9" t="s">
        <v>29</v>
      </c>
      <c r="B26" s="14" t="n">
        <v>2.88</v>
      </c>
      <c r="C26" s="14" t="n">
        <v>0.98</v>
      </c>
      <c r="D26" s="14" t="n">
        <v>2.43</v>
      </c>
    </row>
    <row r="27" customFormat="false" ht="15" hidden="false" customHeight="true" outlineLevel="0" collapsed="false">
      <c r="A27" s="9" t="s">
        <v>30</v>
      </c>
      <c r="B27" s="14" t="n">
        <v>2.85</v>
      </c>
      <c r="C27" s="14" t="n">
        <v>0.98</v>
      </c>
      <c r="D27" s="14" t="n">
        <v>2.38</v>
      </c>
    </row>
    <row r="28" customFormat="false" ht="15" hidden="false" customHeight="true" outlineLevel="0" collapsed="false">
      <c r="A28" s="9" t="s">
        <v>31</v>
      </c>
      <c r="B28" s="14" t="n">
        <v>2</v>
      </c>
      <c r="C28" s="14" t="n">
        <v>2</v>
      </c>
      <c r="D28" s="14" t="n">
        <v>0.5</v>
      </c>
    </row>
    <row r="30" customFormat="false" ht="15" hidden="false" customHeight="true" outlineLevel="0" collapsed="false">
      <c r="A30" s="11" t="s">
        <v>32</v>
      </c>
    </row>
    <row r="31" customFormat="false" ht="15" hidden="false" customHeight="true" outlineLevel="0" collapsed="false">
      <c r="A31" s="9" t="s">
        <v>33</v>
      </c>
      <c r="B31" s="15" t="n">
        <f aca="false">SUM(B9,B12)</f>
        <v>17476</v>
      </c>
      <c r="C31" s="15" t="n">
        <f aca="false">SUM(C9,C12)</f>
        <v>16221</v>
      </c>
      <c r="D31" s="15" t="n">
        <f aca="false">SUM(D9,D12)</f>
        <v>15527</v>
      </c>
    </row>
    <row r="32" customFormat="false" ht="15" hidden="false" customHeight="true" outlineLevel="0" collapsed="false">
      <c r="A32" s="9" t="s">
        <v>34</v>
      </c>
      <c r="C32" s="16" t="n">
        <f aca="false">IFERROR(C9/B9-1,0)</f>
        <v>-0.0724104666586277</v>
      </c>
      <c r="D32" s="16" t="n">
        <f aca="false">IFERROR(D9/C9-1,0)</f>
        <v>-0.0396490087747806</v>
      </c>
    </row>
    <row r="33" customFormat="false" ht="15" hidden="false" customHeight="true" outlineLevel="0" collapsed="false">
      <c r="A33" s="9" t="s">
        <v>35</v>
      </c>
      <c r="B33" s="16" t="n">
        <f aca="false">IFERROR(B11/B9,0)</f>
        <v>0.367056553720005</v>
      </c>
      <c r="C33" s="16" t="n">
        <f aca="false">IFERROR(C11/C9,0)</f>
        <v>0.372050698732532</v>
      </c>
      <c r="D33" s="16" t="n">
        <f aca="false">IFERROR(D11/D9,0)</f>
        <v>0.375431472081218</v>
      </c>
    </row>
    <row r="34" customFormat="false" ht="15" hidden="false" customHeight="true" outlineLevel="0" collapsed="false">
      <c r="A34" s="9" t="s">
        <v>36</v>
      </c>
      <c r="B34" s="16" t="n">
        <f aca="false">IFERROR(B17/B31,0)</f>
        <v>0.0410276951247425</v>
      </c>
      <c r="C34" s="16" t="n">
        <f aca="false">IFERROR(C17/C31,0)</f>
        <v>0.0266937919980273</v>
      </c>
      <c r="D34" s="16" t="n">
        <f aca="false">IFERROR(D17/D31,0)</f>
        <v>0.040188059509242</v>
      </c>
    </row>
    <row r="35" customFormat="false" ht="15" hidden="false" customHeight="true" outlineLevel="0" collapsed="false">
      <c r="A35" s="9" t="s">
        <v>37</v>
      </c>
      <c r="B35" s="16" t="n">
        <f aca="false">IFERROR(-B20/B19,0)</f>
        <v>0.150134048257373</v>
      </c>
      <c r="C35" s="16" t="n">
        <f aca="false">IFERROR(-C20/C19,0)</f>
        <v>0.043859649122807</v>
      </c>
      <c r="D35" s="16" t="n">
        <f aca="false">IFERROR(-D20/D19,0)</f>
        <v>0.19047619047619</v>
      </c>
    </row>
    <row r="37" customFormat="false" ht="15" hidden="false" customHeight="true" outlineLevel="0" collapsed="false">
      <c r="A37" s="8" t="s">
        <v>38</v>
      </c>
      <c r="B37" s="8"/>
      <c r="C37" s="8"/>
      <c r="D37" s="8"/>
      <c r="E37" s="3" t="s">
        <v>39</v>
      </c>
    </row>
    <row r="38" customFormat="false" ht="15" hidden="false" customHeight="true" outlineLevel="0" collapsed="false">
      <c r="A38" s="3" t="s">
        <v>40</v>
      </c>
    </row>
    <row r="39" customFormat="false" ht="15" hidden="false" customHeight="true" outlineLevel="0" collapsed="false">
      <c r="A39" s="11" t="s">
        <v>41</v>
      </c>
    </row>
    <row r="40" customFormat="false" ht="15" hidden="false" customHeight="true" outlineLevel="0" collapsed="false">
      <c r="A40" s="9" t="s">
        <v>42</v>
      </c>
      <c r="C40" s="17" t="n">
        <f aca="false">C108</f>
        <v>134</v>
      </c>
      <c r="D40" s="17" t="n">
        <f aca="false">D108</f>
        <v>674</v>
      </c>
    </row>
    <row r="41" customFormat="false" ht="15" hidden="false" customHeight="true" outlineLevel="0" collapsed="false">
      <c r="A41" s="9" t="s">
        <v>43</v>
      </c>
      <c r="C41" s="10" t="n">
        <v>2945</v>
      </c>
      <c r="D41" s="10" t="n">
        <v>2745</v>
      </c>
    </row>
    <row r="42" customFormat="false" ht="15" hidden="false" customHeight="true" outlineLevel="0" collapsed="false">
      <c r="A42" s="9" t="s">
        <v>44</v>
      </c>
      <c r="C42" s="10" t="n">
        <v>309</v>
      </c>
      <c r="D42" s="10" t="n">
        <v>272</v>
      </c>
    </row>
    <row r="43" customFormat="false" ht="15" hidden="false" customHeight="true" outlineLevel="0" collapsed="false">
      <c r="A43" s="11" t="s">
        <v>45</v>
      </c>
      <c r="C43" s="12" t="n">
        <f aca="false">SUM(C40:C42)</f>
        <v>3388</v>
      </c>
      <c r="D43" s="12" t="n">
        <f aca="false">SUM(D40:D42)</f>
        <v>3691</v>
      </c>
    </row>
    <row r="44" customFormat="false" ht="15" hidden="false" customHeight="true" outlineLevel="0" collapsed="false">
      <c r="A44" s="9" t="s">
        <v>46</v>
      </c>
      <c r="C44" s="10" t="n">
        <v>7297</v>
      </c>
      <c r="D44" s="17" t="n">
        <f aca="false">D128</f>
        <v>6914</v>
      </c>
    </row>
    <row r="45" customFormat="false" ht="15" hidden="false" customHeight="true" outlineLevel="0" collapsed="false">
      <c r="A45" s="9" t="s">
        <v>47</v>
      </c>
      <c r="C45" s="10" t="n">
        <v>2394</v>
      </c>
      <c r="D45" s="10" t="n">
        <v>2338</v>
      </c>
    </row>
    <row r="46" customFormat="false" ht="15" hidden="false" customHeight="true" outlineLevel="0" collapsed="false">
      <c r="A46" s="9" t="s">
        <v>48</v>
      </c>
      <c r="C46" s="10" t="n">
        <v>480</v>
      </c>
      <c r="D46" s="10" t="n">
        <v>419</v>
      </c>
    </row>
    <row r="47" customFormat="false" ht="15" hidden="false" customHeight="true" outlineLevel="0" collapsed="false">
      <c r="A47" s="11" t="s">
        <v>49</v>
      </c>
      <c r="C47" s="13" t="n">
        <f aca="false">SUM(C43,C44,C45,C46)</f>
        <v>13559</v>
      </c>
      <c r="D47" s="13" t="n">
        <f aca="false">SUM(D43,D44,D45,D46)</f>
        <v>13362</v>
      </c>
    </row>
    <row r="49" customFormat="false" ht="15" hidden="false" customHeight="true" outlineLevel="0" collapsed="false">
      <c r="A49" s="11" t="s">
        <v>50</v>
      </c>
    </row>
    <row r="50" customFormat="false" ht="15" hidden="false" customHeight="true" outlineLevel="0" collapsed="false">
      <c r="A50" s="9" t="s">
        <v>51</v>
      </c>
      <c r="C50" s="10" t="n">
        <v>1042</v>
      </c>
      <c r="D50" s="10" t="n">
        <v>1171</v>
      </c>
    </row>
    <row r="51" customFormat="false" ht="15" hidden="false" customHeight="true" outlineLevel="0" collapsed="false">
      <c r="A51" s="9" t="s">
        <v>52</v>
      </c>
      <c r="C51" s="10" t="n">
        <v>1263</v>
      </c>
      <c r="D51" s="10" t="n">
        <v>1181</v>
      </c>
    </row>
    <row r="52" customFormat="false" ht="15" hidden="false" customHeight="true" outlineLevel="0" collapsed="false">
      <c r="A52" s="9" t="s">
        <v>53</v>
      </c>
      <c r="C52" s="10" t="n">
        <v>290</v>
      </c>
      <c r="D52" s="10" t="n">
        <v>0</v>
      </c>
    </row>
    <row r="53" customFormat="false" ht="15" hidden="false" customHeight="true" outlineLevel="0" collapsed="false">
      <c r="A53" s="9" t="s">
        <v>54</v>
      </c>
      <c r="C53" s="10" t="n">
        <v>353</v>
      </c>
      <c r="D53" s="10" t="n">
        <v>0</v>
      </c>
    </row>
    <row r="54" customFormat="false" ht="15" hidden="false" customHeight="true" outlineLevel="0" collapsed="false">
      <c r="A54" s="9" t="s">
        <v>55</v>
      </c>
      <c r="C54" s="10" t="n">
        <v>81</v>
      </c>
      <c r="D54" s="10" t="n">
        <v>85</v>
      </c>
    </row>
    <row r="55" customFormat="false" ht="15" hidden="false" customHeight="true" outlineLevel="0" collapsed="false">
      <c r="A55" s="9" t="s">
        <v>56</v>
      </c>
      <c r="C55" s="10" t="n">
        <v>102</v>
      </c>
      <c r="D55" s="10" t="n">
        <v>94</v>
      </c>
    </row>
    <row r="56" customFormat="false" ht="15" hidden="false" customHeight="true" outlineLevel="0" collapsed="false">
      <c r="A56" s="11" t="s">
        <v>57</v>
      </c>
      <c r="C56" s="12" t="n">
        <f aca="false">SUM(C50:C55)</f>
        <v>3131</v>
      </c>
      <c r="D56" s="12" t="n">
        <f aca="false">SUM(D50:D55)</f>
        <v>2531</v>
      </c>
    </row>
    <row r="57" customFormat="false" ht="15" hidden="false" customHeight="true" outlineLevel="0" collapsed="false">
      <c r="A57" s="9" t="s">
        <v>58</v>
      </c>
      <c r="C57" s="10" t="n">
        <v>1174</v>
      </c>
      <c r="D57" s="10" t="n">
        <v>1436</v>
      </c>
    </row>
    <row r="58" customFormat="false" ht="15" hidden="false" customHeight="true" outlineLevel="0" collapsed="false">
      <c r="A58" s="9" t="s">
        <v>59</v>
      </c>
      <c r="C58" s="10" t="n">
        <v>2456</v>
      </c>
      <c r="D58" s="10" t="n">
        <v>2365</v>
      </c>
    </row>
    <row r="59" customFormat="false" ht="15" hidden="false" customHeight="true" outlineLevel="0" collapsed="false">
      <c r="A59" s="9" t="s">
        <v>60</v>
      </c>
      <c r="C59" s="10" t="n">
        <v>2703</v>
      </c>
      <c r="D59" s="10" t="n">
        <v>2650</v>
      </c>
    </row>
    <row r="60" customFormat="false" ht="15" hidden="false" customHeight="true" outlineLevel="0" collapsed="false">
      <c r="A60" s="9" t="s">
        <v>61</v>
      </c>
      <c r="C60" s="10" t="n">
        <v>28</v>
      </c>
      <c r="D60" s="10" t="n">
        <v>91</v>
      </c>
    </row>
    <row r="61" customFormat="false" ht="15" hidden="false" customHeight="true" outlineLevel="0" collapsed="false">
      <c r="A61" s="9" t="s">
        <v>62</v>
      </c>
      <c r="C61" s="10" t="n">
        <v>265</v>
      </c>
      <c r="D61" s="10" t="n">
        <v>241</v>
      </c>
    </row>
    <row r="62" customFormat="false" ht="15" hidden="false" customHeight="true" outlineLevel="0" collapsed="false">
      <c r="A62" s="11" t="s">
        <v>63</v>
      </c>
      <c r="C62" s="12" t="n">
        <f aca="false">SUM(C56,C57,C58,C59,C60,C61)</f>
        <v>9757</v>
      </c>
      <c r="D62" s="12" t="n">
        <f aca="false">SUM(D56,D57,D58,D59,D60,D61)</f>
        <v>9314</v>
      </c>
    </row>
    <row r="64" customFormat="false" ht="15" hidden="false" customHeight="true" outlineLevel="0" collapsed="false">
      <c r="A64" s="11" t="s">
        <v>64</v>
      </c>
    </row>
    <row r="65" customFormat="false" ht="15" hidden="false" customHeight="true" outlineLevel="0" collapsed="false">
      <c r="A65" s="9" t="s">
        <v>65</v>
      </c>
      <c r="C65" s="10" t="n">
        <v>1</v>
      </c>
      <c r="D65" s="10" t="n">
        <v>1</v>
      </c>
    </row>
    <row r="66" customFormat="false" ht="15" hidden="false" customHeight="true" outlineLevel="0" collapsed="false">
      <c r="A66" s="9" t="s">
        <v>66</v>
      </c>
      <c r="C66" s="10" t="n">
        <v>3560</v>
      </c>
      <c r="D66" s="10" t="n">
        <v>3595</v>
      </c>
    </row>
    <row r="67" customFormat="false" ht="15" hidden="false" customHeight="true" outlineLevel="0" collapsed="false">
      <c r="A67" s="9" t="s">
        <v>67</v>
      </c>
      <c r="C67" s="10" t="n">
        <v>-767</v>
      </c>
      <c r="D67" s="10" t="n">
        <v>-771</v>
      </c>
    </row>
    <row r="68" customFormat="false" ht="15" hidden="false" customHeight="true" outlineLevel="0" collapsed="false">
      <c r="A68" s="9" t="s">
        <v>68</v>
      </c>
      <c r="C68" s="17" t="n">
        <f aca="false">C120</f>
        <v>1008</v>
      </c>
      <c r="D68" s="17" t="n">
        <f aca="false">D120</f>
        <v>1223</v>
      </c>
    </row>
    <row r="69" customFormat="false" ht="15" hidden="false" customHeight="true" outlineLevel="0" collapsed="false">
      <c r="A69" s="11" t="s">
        <v>69</v>
      </c>
      <c r="C69" s="12" t="n">
        <f aca="false">SUM(C65:C68)</f>
        <v>3802</v>
      </c>
      <c r="D69" s="12" t="n">
        <f aca="false">SUM(D65:D68)</f>
        <v>4048</v>
      </c>
    </row>
    <row r="70" customFormat="false" ht="15" hidden="false" customHeight="true" outlineLevel="0" collapsed="false">
      <c r="A70" s="11" t="s">
        <v>70</v>
      </c>
      <c r="C70" s="13" t="n">
        <f aca="false">SUM(C62,C69)</f>
        <v>13559</v>
      </c>
      <c r="D70" s="13" t="n">
        <f aca="false">SUM(D62,D69)</f>
        <v>13362</v>
      </c>
    </row>
    <row r="72" customFormat="false" ht="15" hidden="false" customHeight="true" outlineLevel="0" collapsed="false">
      <c r="A72" s="8" t="s">
        <v>71</v>
      </c>
      <c r="B72" s="8"/>
      <c r="C72" s="8"/>
      <c r="D72" s="8"/>
      <c r="E72" s="3" t="s">
        <v>72</v>
      </c>
    </row>
    <row r="73" customFormat="false" ht="15" hidden="false" customHeight="true" outlineLevel="0" collapsed="false">
      <c r="A73" s="11" t="s">
        <v>73</v>
      </c>
    </row>
    <row r="74" customFormat="false" ht="15" hidden="false" customHeight="true" outlineLevel="0" collapsed="false">
      <c r="A74" s="9" t="s">
        <v>25</v>
      </c>
      <c r="B74" s="15" t="n">
        <f aca="false">B21</f>
        <v>317</v>
      </c>
      <c r="C74" s="15" t="n">
        <f aca="false">C21</f>
        <v>109</v>
      </c>
      <c r="D74" s="15" t="n">
        <f aca="false">D21</f>
        <v>272</v>
      </c>
    </row>
    <row r="75" customFormat="false" ht="15" hidden="false" customHeight="true" outlineLevel="0" collapsed="false">
      <c r="A75" s="9" t="s">
        <v>18</v>
      </c>
      <c r="B75" s="15" t="n">
        <f aca="false">-B14</f>
        <v>749</v>
      </c>
      <c r="C75" s="15" t="n">
        <f aca="false">-C14</f>
        <v>743</v>
      </c>
      <c r="D75" s="15" t="n">
        <f aca="false">-D14</f>
        <v>700</v>
      </c>
    </row>
    <row r="76" customFormat="false" ht="15" hidden="false" customHeight="true" outlineLevel="0" collapsed="false">
      <c r="A76" s="9" t="s">
        <v>74</v>
      </c>
      <c r="B76" s="10" t="n">
        <v>42</v>
      </c>
      <c r="C76" s="10" t="n">
        <v>30</v>
      </c>
      <c r="D76" s="10" t="n">
        <v>34</v>
      </c>
    </row>
    <row r="77" customFormat="false" ht="15" hidden="false" customHeight="true" outlineLevel="0" collapsed="false">
      <c r="A77" s="9" t="s">
        <v>61</v>
      </c>
      <c r="B77" s="10" t="n">
        <v>-8</v>
      </c>
      <c r="C77" s="10" t="n">
        <v>-85</v>
      </c>
      <c r="D77" s="10" t="n">
        <v>69</v>
      </c>
    </row>
    <row r="78" customFormat="false" ht="15" hidden="false" customHeight="true" outlineLevel="0" collapsed="false">
      <c r="A78" s="9" t="s">
        <v>75</v>
      </c>
      <c r="B78" s="10" t="n">
        <v>0</v>
      </c>
      <c r="C78" s="10" t="n">
        <v>36</v>
      </c>
      <c r="D78" s="10" t="n">
        <v>11</v>
      </c>
    </row>
    <row r="79" customFormat="false" ht="15" hidden="false" customHeight="true" outlineLevel="0" collapsed="false">
      <c r="A79" s="9" t="s">
        <v>76</v>
      </c>
      <c r="B79" s="10" t="n">
        <v>92</v>
      </c>
      <c r="C79" s="10" t="n">
        <v>89</v>
      </c>
      <c r="D79" s="10" t="n">
        <v>87</v>
      </c>
    </row>
    <row r="80" customFormat="false" ht="15" hidden="false" customHeight="true" outlineLevel="0" collapsed="false">
      <c r="A80" s="9" t="s">
        <v>77</v>
      </c>
      <c r="B80" s="10" t="n">
        <v>6</v>
      </c>
      <c r="C80" s="10" t="n">
        <v>1</v>
      </c>
      <c r="D80" s="10" t="n">
        <v>-18</v>
      </c>
    </row>
    <row r="81" customFormat="false" ht="15" hidden="false" customHeight="true" outlineLevel="0" collapsed="false">
      <c r="A81" s="9" t="s">
        <v>78</v>
      </c>
      <c r="B81" s="10" t="n">
        <v>315</v>
      </c>
      <c r="C81" s="10" t="n">
        <v>-60</v>
      </c>
      <c r="D81" s="10" t="n">
        <v>203</v>
      </c>
    </row>
    <row r="82" customFormat="false" ht="15" hidden="false" customHeight="true" outlineLevel="0" collapsed="false">
      <c r="A82" s="9" t="s">
        <v>79</v>
      </c>
      <c r="B82" s="10" t="n">
        <v>11</v>
      </c>
      <c r="C82" s="10" t="n">
        <v>-50</v>
      </c>
      <c r="D82" s="10" t="n">
        <v>91</v>
      </c>
    </row>
    <row r="83" customFormat="false" ht="15" hidden="false" customHeight="true" outlineLevel="0" collapsed="false">
      <c r="A83" s="9" t="s">
        <v>80</v>
      </c>
      <c r="B83" s="10" t="n">
        <v>-196</v>
      </c>
      <c r="C83" s="10" t="n">
        <v>-92</v>
      </c>
      <c r="D83" s="10" t="n">
        <v>130</v>
      </c>
    </row>
    <row r="84" customFormat="false" ht="15" hidden="false" customHeight="true" outlineLevel="0" collapsed="false">
      <c r="A84" s="9" t="s">
        <v>81</v>
      </c>
      <c r="B84" s="10" t="n">
        <v>-67</v>
      </c>
      <c r="C84" s="10" t="n">
        <v>20</v>
      </c>
      <c r="D84" s="10" t="n">
        <v>-103</v>
      </c>
    </row>
    <row r="85" customFormat="false" ht="15" hidden="false" customHeight="true" outlineLevel="0" collapsed="false">
      <c r="A85" s="9" t="s">
        <v>82</v>
      </c>
      <c r="B85" s="10" t="n">
        <v>-93</v>
      </c>
      <c r="C85" s="10" t="n">
        <v>-93</v>
      </c>
      <c r="D85" s="10" t="n">
        <v>-96</v>
      </c>
    </row>
    <row r="86" customFormat="false" ht="15" hidden="false" customHeight="true" outlineLevel="0" collapsed="false">
      <c r="A86" s="11" t="s">
        <v>83</v>
      </c>
      <c r="B86" s="12" t="n">
        <f aca="false">SUM(B74:B85)</f>
        <v>1168</v>
      </c>
      <c r="C86" s="12" t="n">
        <f aca="false">SUM(C74:C85)</f>
        <v>648</v>
      </c>
      <c r="D86" s="12" t="n">
        <f aca="false">SUM(D74:D85)</f>
        <v>1380</v>
      </c>
    </row>
    <row r="88" customFormat="false" ht="15" hidden="false" customHeight="true" outlineLevel="0" collapsed="false">
      <c r="A88" s="11" t="s">
        <v>84</v>
      </c>
    </row>
    <row r="89" customFormat="false" ht="15" hidden="false" customHeight="true" outlineLevel="0" collapsed="false">
      <c r="A89" s="9" t="s">
        <v>85</v>
      </c>
      <c r="B89" s="10" t="n">
        <v>-577</v>
      </c>
      <c r="C89" s="10" t="n">
        <v>-466</v>
      </c>
      <c r="D89" s="10" t="n">
        <v>-372</v>
      </c>
    </row>
    <row r="90" customFormat="false" ht="15" hidden="false" customHeight="true" outlineLevel="0" collapsed="false">
      <c r="A90" s="9" t="s">
        <v>86</v>
      </c>
      <c r="B90" s="10" t="n">
        <v>26</v>
      </c>
      <c r="C90" s="10" t="n">
        <v>6</v>
      </c>
      <c r="D90" s="10" t="n">
        <v>54</v>
      </c>
    </row>
    <row r="91" customFormat="false" ht="15" hidden="false" customHeight="true" outlineLevel="0" collapsed="false">
      <c r="A91" s="9" t="s">
        <v>87</v>
      </c>
      <c r="B91" s="10" t="n">
        <v>-11</v>
      </c>
      <c r="C91" s="10" t="n">
        <v>-7</v>
      </c>
      <c r="D91" s="10" t="n">
        <v>-15</v>
      </c>
    </row>
    <row r="92" customFormat="false" ht="15" hidden="false" customHeight="true" outlineLevel="0" collapsed="false">
      <c r="A92" s="11" t="s">
        <v>88</v>
      </c>
      <c r="B92" s="12" t="n">
        <f aca="false">SUM(B89:B91)</f>
        <v>-562</v>
      </c>
      <c r="C92" s="12" t="n">
        <f aca="false">SUM(C89:C91)</f>
        <v>-467</v>
      </c>
      <c r="D92" s="12" t="n">
        <f aca="false">SUM(D89:D91)</f>
        <v>-333</v>
      </c>
    </row>
    <row r="94" customFormat="false" ht="15" hidden="false" customHeight="true" outlineLevel="0" collapsed="false">
      <c r="A94" s="11" t="s">
        <v>89</v>
      </c>
    </row>
    <row r="95" customFormat="false" ht="15" hidden="false" customHeight="true" outlineLevel="0" collapsed="false">
      <c r="A95" s="9" t="s">
        <v>90</v>
      </c>
      <c r="B95" s="10" t="n">
        <v>0</v>
      </c>
      <c r="C95" s="10" t="n">
        <v>0</v>
      </c>
      <c r="D95" s="10" t="n">
        <v>357</v>
      </c>
    </row>
    <row r="96" customFormat="false" ht="15" hidden="false" customHeight="true" outlineLevel="0" collapsed="false">
      <c r="A96" s="9" t="s">
        <v>91</v>
      </c>
      <c r="B96" s="10" t="n">
        <v>0</v>
      </c>
      <c r="C96" s="10" t="n">
        <v>0</v>
      </c>
      <c r="D96" s="10" t="n">
        <v>-11</v>
      </c>
    </row>
    <row r="97" customFormat="false" ht="15" hidden="false" customHeight="true" outlineLevel="0" collapsed="false">
      <c r="A97" s="9" t="s">
        <v>92</v>
      </c>
      <c r="B97" s="10" t="n">
        <v>7</v>
      </c>
      <c r="C97" s="10" t="n">
        <v>198</v>
      </c>
      <c r="D97" s="10" t="n">
        <v>-290</v>
      </c>
    </row>
    <row r="98" customFormat="false" ht="15" hidden="false" customHeight="true" outlineLevel="0" collapsed="false">
      <c r="A98" s="9" t="s">
        <v>93</v>
      </c>
      <c r="B98" s="10" t="n">
        <v>-16</v>
      </c>
      <c r="C98" s="10" t="n">
        <v>-10</v>
      </c>
      <c r="D98" s="10" t="n">
        <v>-5</v>
      </c>
    </row>
    <row r="99" customFormat="false" ht="15" hidden="false" customHeight="true" outlineLevel="0" collapsed="false">
      <c r="A99" s="9" t="s">
        <v>94</v>
      </c>
      <c r="B99" s="10" t="n">
        <v>-220</v>
      </c>
      <c r="C99" s="10" t="n">
        <v>-222</v>
      </c>
      <c r="D99" s="10" t="n">
        <v>-56</v>
      </c>
    </row>
    <row r="100" customFormat="false" ht="15" hidden="false" customHeight="true" outlineLevel="0" collapsed="false">
      <c r="A100" s="9" t="s">
        <v>95</v>
      </c>
      <c r="B100" s="10" t="n">
        <v>-275</v>
      </c>
      <c r="C100" s="10" t="n">
        <v>-113</v>
      </c>
      <c r="D100" s="10" t="n">
        <v>-440</v>
      </c>
    </row>
    <row r="101" customFormat="false" ht="15" hidden="false" customHeight="true" outlineLevel="0" collapsed="false">
      <c r="A101" s="9" t="s">
        <v>96</v>
      </c>
      <c r="B101" s="10" t="n">
        <v>0</v>
      </c>
      <c r="C101" s="10" t="n">
        <v>-5</v>
      </c>
      <c r="D101" s="10" t="n">
        <v>11</v>
      </c>
    </row>
    <row r="102" customFormat="false" ht="15" hidden="false" customHeight="true" outlineLevel="0" collapsed="false">
      <c r="A102" s="9" t="s">
        <v>97</v>
      </c>
      <c r="B102" s="10" t="n">
        <v>-93</v>
      </c>
      <c r="C102" s="10" t="n">
        <v>-79</v>
      </c>
      <c r="D102" s="10" t="n">
        <v>-83</v>
      </c>
    </row>
    <row r="103" customFormat="false" ht="15" hidden="false" customHeight="true" outlineLevel="0" collapsed="false">
      <c r="A103" s="9" t="s">
        <v>98</v>
      </c>
      <c r="B103" s="10" t="n">
        <v>21</v>
      </c>
      <c r="C103" s="10" t="n">
        <v>1</v>
      </c>
      <c r="D103" s="10" t="n">
        <v>10</v>
      </c>
    </row>
    <row r="104" customFormat="false" ht="15" hidden="false" customHeight="true" outlineLevel="0" collapsed="false">
      <c r="A104" s="11" t="s">
        <v>99</v>
      </c>
      <c r="B104" s="12" t="n">
        <f aca="false">SUM(B95:B103)</f>
        <v>-576</v>
      </c>
      <c r="C104" s="12" t="n">
        <f aca="false">SUM(C95:C103)</f>
        <v>-230</v>
      </c>
      <c r="D104" s="12" t="n">
        <f aca="false">SUM(D95:D103)</f>
        <v>-507</v>
      </c>
    </row>
    <row r="106" customFormat="false" ht="15" hidden="false" customHeight="true" outlineLevel="0" collapsed="false">
      <c r="A106" s="11" t="s">
        <v>100</v>
      </c>
      <c r="B106" s="12" t="n">
        <f aca="false">SUM(B86,B92,B104)</f>
        <v>30</v>
      </c>
      <c r="C106" s="12" t="n">
        <f aca="false">SUM(C86,C92,C104)</f>
        <v>-49</v>
      </c>
      <c r="D106" s="12" t="n">
        <f aca="false">SUM(D86,D92,D104)</f>
        <v>540</v>
      </c>
    </row>
    <row r="107" customFormat="false" ht="15" hidden="false" customHeight="true" outlineLevel="0" collapsed="false">
      <c r="A107" s="18" t="s">
        <v>101</v>
      </c>
      <c r="B107" s="10" t="n">
        <v>153</v>
      </c>
      <c r="C107" s="17" t="n">
        <f aca="false">B108</f>
        <v>183</v>
      </c>
      <c r="D107" s="17" t="n">
        <f aca="false">C108</f>
        <v>134</v>
      </c>
    </row>
    <row r="108" customFormat="false" ht="15" hidden="false" customHeight="true" outlineLevel="0" collapsed="false">
      <c r="A108" s="11" t="s">
        <v>102</v>
      </c>
      <c r="B108" s="13" t="n">
        <f aca="false">SUM(B107,B106)</f>
        <v>183</v>
      </c>
      <c r="C108" s="13" t="n">
        <f aca="false">SUM(C107,C106)</f>
        <v>134</v>
      </c>
      <c r="D108" s="13" t="n">
        <f aca="false">SUM(D107,D106)</f>
        <v>674</v>
      </c>
    </row>
    <row r="110" customFormat="false" ht="15" hidden="false" customHeight="true" outlineLevel="0" collapsed="false">
      <c r="A110" s="11" t="s">
        <v>103</v>
      </c>
    </row>
    <row r="111" customFormat="false" ht="15" hidden="false" customHeight="true" outlineLevel="0" collapsed="false">
      <c r="A111" s="9" t="s">
        <v>104</v>
      </c>
      <c r="B111" s="10" t="n">
        <v>331</v>
      </c>
      <c r="C111" s="10" t="n">
        <v>312</v>
      </c>
      <c r="D111" s="10" t="n">
        <v>295</v>
      </c>
    </row>
    <row r="112" customFormat="false" ht="15" hidden="false" customHeight="true" outlineLevel="0" collapsed="false">
      <c r="A112" s="9" t="s">
        <v>105</v>
      </c>
      <c r="B112" s="15" t="n">
        <f aca="false">SUM(B86,B89)</f>
        <v>591</v>
      </c>
      <c r="C112" s="15" t="n">
        <f aca="false">SUM(C86,C89)</f>
        <v>182</v>
      </c>
      <c r="D112" s="15" t="n">
        <f aca="false">SUM(D86,D89)</f>
        <v>1008</v>
      </c>
    </row>
    <row r="114" customFormat="false" ht="15" hidden="false" customHeight="true" outlineLevel="0" collapsed="false">
      <c r="A114" s="8" t="s">
        <v>106</v>
      </c>
      <c r="B114" s="8"/>
      <c r="C114" s="8"/>
      <c r="D114" s="8"/>
      <c r="E114" s="3" t="s">
        <v>107</v>
      </c>
    </row>
    <row r="115" customFormat="false" ht="15" hidden="false" customHeight="true" outlineLevel="0" collapsed="false">
      <c r="A115" s="11" t="s">
        <v>108</v>
      </c>
    </row>
    <row r="116" customFormat="false" ht="15" hidden="false" customHeight="true" outlineLevel="0" collapsed="false">
      <c r="A116" s="9" t="s">
        <v>109</v>
      </c>
      <c r="B116" s="10" t="n">
        <v>13995</v>
      </c>
      <c r="C116" s="17" t="n">
        <f aca="false">B120</f>
        <v>2934</v>
      </c>
      <c r="D116" s="17" t="n">
        <f aca="false">C120</f>
        <v>1008</v>
      </c>
    </row>
    <row r="117" customFormat="false" ht="15" hidden="false" customHeight="true" outlineLevel="0" collapsed="false">
      <c r="A117" s="9" t="s">
        <v>110</v>
      </c>
      <c r="B117" s="15" t="n">
        <f aca="false">B21</f>
        <v>317</v>
      </c>
      <c r="C117" s="15" t="n">
        <f aca="false">C21</f>
        <v>109</v>
      </c>
      <c r="D117" s="15" t="n">
        <f aca="false">D21</f>
        <v>272</v>
      </c>
    </row>
    <row r="118" customFormat="false" ht="15" hidden="false" customHeight="true" outlineLevel="0" collapsed="false">
      <c r="A118" s="9" t="s">
        <v>111</v>
      </c>
      <c r="B118" s="10" t="n">
        <v>-223</v>
      </c>
      <c r="C118" s="10" t="n">
        <v>-224</v>
      </c>
      <c r="D118" s="10" t="n">
        <v>-57</v>
      </c>
    </row>
    <row r="119" customFormat="false" ht="15" hidden="false" customHeight="true" outlineLevel="0" collapsed="false">
      <c r="A119" s="9" t="s">
        <v>112</v>
      </c>
      <c r="B119" s="10" t="n">
        <v>-11155</v>
      </c>
      <c r="C119" s="10" t="n">
        <v>-1811</v>
      </c>
      <c r="D119" s="10" t="n">
        <v>0</v>
      </c>
    </row>
    <row r="120" customFormat="false" ht="15" hidden="false" customHeight="true" outlineLevel="0" collapsed="false">
      <c r="A120" s="11" t="s">
        <v>113</v>
      </c>
      <c r="B120" s="12" t="n">
        <f aca="false">SUM(B116,B117,B118,B119)</f>
        <v>2934</v>
      </c>
      <c r="C120" s="12" t="n">
        <f aca="false">SUM(C116,C117,C118,C119)</f>
        <v>1008</v>
      </c>
      <c r="D120" s="12" t="n">
        <f aca="false">SUM(D116,D117,D118,D119)</f>
        <v>1223</v>
      </c>
    </row>
    <row r="122" customFormat="false" ht="15" hidden="false" customHeight="true" outlineLevel="0" collapsed="false">
      <c r="A122" s="11" t="s">
        <v>114</v>
      </c>
    </row>
    <row r="123" customFormat="false" ht="15" hidden="false" customHeight="true" outlineLevel="0" collapsed="false">
      <c r="A123" s="9" t="s">
        <v>115</v>
      </c>
      <c r="D123" s="15" t="n">
        <f aca="false">C44</f>
        <v>7297</v>
      </c>
    </row>
    <row r="124" customFormat="false" ht="15" hidden="false" customHeight="true" outlineLevel="0" collapsed="false">
      <c r="A124" s="9" t="s">
        <v>116</v>
      </c>
      <c r="D124" s="15" t="n">
        <f aca="false">-D89</f>
        <v>372</v>
      </c>
    </row>
    <row r="125" customFormat="false" ht="15" hidden="false" customHeight="true" outlineLevel="0" collapsed="false">
      <c r="A125" s="9" t="s">
        <v>117</v>
      </c>
      <c r="D125" s="15" t="n">
        <f aca="false">-D75</f>
        <v>-700</v>
      </c>
    </row>
    <row r="126" customFormat="false" ht="15" hidden="false" customHeight="true" outlineLevel="0" collapsed="false">
      <c r="A126" s="9" t="s">
        <v>118</v>
      </c>
      <c r="D126" s="15" t="n">
        <f aca="false">-D78</f>
        <v>-11</v>
      </c>
    </row>
    <row r="127" customFormat="false" ht="15" hidden="false" customHeight="true" outlineLevel="0" collapsed="false">
      <c r="A127" s="9" t="s">
        <v>119</v>
      </c>
      <c r="D127" s="15" t="n">
        <f aca="false">D129-SUM(D123:D126)</f>
        <v>-44</v>
      </c>
    </row>
    <row r="128" customFormat="false" ht="15" hidden="false" customHeight="true" outlineLevel="0" collapsed="false">
      <c r="A128" s="11" t="s">
        <v>120</v>
      </c>
      <c r="D128" s="12" t="n">
        <f aca="false">SUM(D123,D124,D125,D126,D127)</f>
        <v>6914</v>
      </c>
    </row>
    <row r="129" customFormat="false" ht="15" hidden="false" customHeight="true" outlineLevel="0" collapsed="false">
      <c r="A129" s="9" t="s">
        <v>121</v>
      </c>
      <c r="D129" s="10" t="n">
        <v>6914</v>
      </c>
    </row>
    <row r="131" customFormat="false" ht="15" hidden="false" customHeight="true" outlineLevel="0" collapsed="false">
      <c r="A131" s="11" t="s">
        <v>122</v>
      </c>
    </row>
    <row r="132" customFormat="false" ht="15" hidden="false" customHeight="true" outlineLevel="0" collapsed="false">
      <c r="B132" s="19" t="s">
        <v>123</v>
      </c>
      <c r="C132" s="19" t="s">
        <v>124</v>
      </c>
      <c r="D132" s="19" t="s">
        <v>125</v>
      </c>
    </row>
    <row r="133" customFormat="false" ht="15" hidden="false" customHeight="true" outlineLevel="0" collapsed="false">
      <c r="A133" s="9" t="s">
        <v>43</v>
      </c>
      <c r="B133" s="17" t="n">
        <f aca="false">C41-D41</f>
        <v>200</v>
      </c>
      <c r="C133" s="17" t="n">
        <f aca="false">D81</f>
        <v>203</v>
      </c>
      <c r="D133" s="17" t="n">
        <f aca="false">B133-C133</f>
        <v>-3</v>
      </c>
    </row>
    <row r="134" customFormat="false" ht="15" hidden="false" customHeight="true" outlineLevel="0" collapsed="false">
      <c r="A134" s="9" t="s">
        <v>126</v>
      </c>
      <c r="B134" s="17" t="n">
        <f aca="false">(C42+C46)-(D42+D46)</f>
        <v>98</v>
      </c>
      <c r="C134" s="17" t="n">
        <f aca="false">D82</f>
        <v>91</v>
      </c>
      <c r="D134" s="17" t="n">
        <f aca="false">B134-C134</f>
        <v>7</v>
      </c>
    </row>
    <row r="135" customFormat="false" ht="15" hidden="false" customHeight="true" outlineLevel="0" collapsed="false">
      <c r="A135" s="9" t="s">
        <v>51</v>
      </c>
      <c r="B135" s="17" t="n">
        <f aca="false">D50-C50</f>
        <v>129</v>
      </c>
      <c r="C135" s="17" t="n">
        <f aca="false">D83</f>
        <v>130</v>
      </c>
      <c r="D135" s="17" t="n">
        <f aca="false">B135-C135</f>
        <v>-1</v>
      </c>
    </row>
    <row r="136" customFormat="false" ht="15" hidden="false" customHeight="true" outlineLevel="0" collapsed="false">
      <c r="A136" s="9" t="s">
        <v>127</v>
      </c>
      <c r="B136" s="17" t="n">
        <f aca="false">(D51+D61)-(C51+C61)</f>
        <v>-106</v>
      </c>
      <c r="C136" s="17" t="n">
        <f aca="false">D84</f>
        <v>-103</v>
      </c>
      <c r="D136" s="17" t="n">
        <f aca="false">B136-C136</f>
        <v>-3</v>
      </c>
    </row>
    <row r="137" customFormat="false" ht="15" hidden="false" customHeight="true" outlineLevel="0" collapsed="false">
      <c r="A137" s="9" t="s">
        <v>128</v>
      </c>
      <c r="B137" s="17" t="n">
        <f aca="false">(D55+D59)-(C55+C59)</f>
        <v>-61</v>
      </c>
      <c r="C137" s="17" t="n">
        <f aca="false">D85</f>
        <v>-96</v>
      </c>
      <c r="D137" s="17" t="n">
        <f aca="false">B137-C137</f>
        <v>35</v>
      </c>
    </row>
    <row r="138" customFormat="false" ht="15" hidden="false" customHeight="true" outlineLevel="0" collapsed="false">
      <c r="A138" s="11" t="s">
        <v>129</v>
      </c>
      <c r="B138" s="12" t="n">
        <f aca="false">SUM(B133:B137)</f>
        <v>260</v>
      </c>
      <c r="C138" s="12" t="n">
        <f aca="false">SUM(C133:C137)</f>
        <v>225</v>
      </c>
      <c r="D138" s="12" t="n">
        <f aca="false">SUM(D133:D137)</f>
        <v>35</v>
      </c>
    </row>
    <row r="139" customFormat="false" ht="15" hidden="false" customHeight="true" outlineLevel="0" collapsed="false">
      <c r="A139" s="3" t="s">
        <v>130</v>
      </c>
    </row>
    <row r="141" customFormat="false" ht="15" hidden="false" customHeight="true" outlineLevel="0" collapsed="false">
      <c r="A141" s="11" t="s">
        <v>131</v>
      </c>
    </row>
    <row r="142" customFormat="false" ht="15" hidden="false" customHeight="true" outlineLevel="0" collapsed="false">
      <c r="A142" s="9" t="s">
        <v>132</v>
      </c>
      <c r="C142" s="15" t="n">
        <f aca="false">C47-C70</f>
        <v>0</v>
      </c>
      <c r="D142" s="15" t="n">
        <f aca="false">D47-D70</f>
        <v>0</v>
      </c>
    </row>
    <row r="143" customFormat="false" ht="15" hidden="false" customHeight="true" outlineLevel="0" collapsed="false">
      <c r="A143" s="9" t="s">
        <v>133</v>
      </c>
      <c r="C143" s="10" t="n">
        <v>134</v>
      </c>
      <c r="D143" s="10" t="n">
        <v>674</v>
      </c>
    </row>
    <row r="144" customFormat="false" ht="15" hidden="false" customHeight="true" outlineLevel="0" collapsed="false">
      <c r="A144" s="9" t="s">
        <v>134</v>
      </c>
      <c r="C144" s="15" t="n">
        <f aca="false">C108-C143</f>
        <v>0</v>
      </c>
      <c r="D144" s="15" t="n">
        <f aca="false">D108-D143</f>
        <v>0</v>
      </c>
    </row>
    <row r="145" customFormat="false" ht="15" hidden="false" customHeight="true" outlineLevel="0" collapsed="false">
      <c r="A145" s="9" t="s">
        <v>135</v>
      </c>
      <c r="B145" s="10" t="n">
        <v>2934</v>
      </c>
      <c r="C145" s="10" t="n">
        <v>1008</v>
      </c>
      <c r="D145" s="10" t="n">
        <v>1223</v>
      </c>
    </row>
    <row r="146" customFormat="false" ht="15" hidden="false" customHeight="true" outlineLevel="0" collapsed="false">
      <c r="A146" s="9" t="s">
        <v>136</v>
      </c>
      <c r="B146" s="15" t="n">
        <f aca="false">B120-B145</f>
        <v>0</v>
      </c>
      <c r="C146" s="15" t="n">
        <f aca="false">C120-C145</f>
        <v>0</v>
      </c>
      <c r="D146" s="15" t="n">
        <f aca="false">D120-D145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7" min="2" style="0" width="13"/>
    <col collapsed="false" customWidth="true" hidden="false" outlineLevel="0" max="8" min="8" style="0" width="70"/>
  </cols>
  <sheetData>
    <row r="1" customFormat="false" ht="17.35" hidden="false" customHeight="false" outlineLevel="0" collapsed="false">
      <c r="A1" s="20" t="s">
        <v>137</v>
      </c>
    </row>
    <row r="2" customFormat="false" ht="15" hidden="false" customHeight="false" outlineLevel="0" collapsed="false">
      <c r="A2" s="21" t="s">
        <v>138</v>
      </c>
    </row>
    <row r="3" customFormat="false" ht="15" hidden="false" customHeight="false" outlineLevel="0" collapsed="false">
      <c r="A3" s="21" t="s">
        <v>139</v>
      </c>
    </row>
    <row r="5" customFormat="false" ht="15" hidden="false" customHeight="false" outlineLevel="0" collapsed="false">
      <c r="A5" s="22" t="s">
        <v>3</v>
      </c>
      <c r="B5" s="5" t="s">
        <v>140</v>
      </c>
      <c r="C5" s="5" t="s">
        <v>141</v>
      </c>
      <c r="D5" s="5" t="s">
        <v>142</v>
      </c>
      <c r="E5" s="5" t="s">
        <v>143</v>
      </c>
      <c r="F5" s="5" t="s">
        <v>144</v>
      </c>
      <c r="G5" s="5" t="s">
        <v>145</v>
      </c>
    </row>
    <row r="7" customFormat="false" ht="15" hidden="false" customHeight="false" outlineLevel="0" collapsed="false">
      <c r="A7" s="23" t="s">
        <v>146</v>
      </c>
      <c r="B7" s="23"/>
      <c r="C7" s="23"/>
      <c r="D7" s="23"/>
      <c r="E7" s="23"/>
      <c r="F7" s="23"/>
      <c r="G7" s="23"/>
    </row>
    <row r="8" customFormat="false" ht="15" hidden="false" customHeight="false" outlineLevel="0" collapsed="false">
      <c r="A8" s="9" t="s">
        <v>34</v>
      </c>
      <c r="B8" s="24" t="n">
        <f aca="false">'KSS Model'!D9/'KSS Model'!C9-1</f>
        <v>-0.0396490087747806</v>
      </c>
      <c r="C8" s="25" t="n">
        <v>-0.01</v>
      </c>
      <c r="D8" s="25" t="n">
        <v>-0.005</v>
      </c>
      <c r="E8" s="25" t="n">
        <v>0</v>
      </c>
      <c r="F8" s="25" t="n">
        <v>0.005</v>
      </c>
      <c r="G8" s="25" t="n">
        <v>0.01</v>
      </c>
      <c r="H8" s="21" t="s">
        <v>147</v>
      </c>
    </row>
    <row r="9" customFormat="false" ht="15" hidden="false" customHeight="false" outlineLevel="0" collapsed="false">
      <c r="A9" s="9" t="s">
        <v>35</v>
      </c>
      <c r="B9" s="24" t="n">
        <f aca="false">('KSS Model'!D9+'KSS Model'!D10)/'KSS Model'!D9</f>
        <v>0.375431472081218</v>
      </c>
      <c r="C9" s="25" t="n">
        <v>0.38</v>
      </c>
      <c r="D9" s="25" t="n">
        <v>0.375</v>
      </c>
      <c r="E9" s="25" t="n">
        <v>0.375</v>
      </c>
      <c r="F9" s="25" t="n">
        <v>0.375</v>
      </c>
      <c r="G9" s="25" t="n">
        <v>0.375</v>
      </c>
      <c r="H9" s="21" t="s">
        <v>148</v>
      </c>
    </row>
    <row r="10" customFormat="false" ht="15" hidden="false" customHeight="false" outlineLevel="0" collapsed="false">
      <c r="A10" s="9" t="s">
        <v>149</v>
      </c>
      <c r="B10" s="24" t="n">
        <f aca="false">'KSS Model'!D12/'KSS Model'!D9</f>
        <v>0.0508967851099831</v>
      </c>
      <c r="C10" s="25" t="n">
        <v>0.051</v>
      </c>
      <c r="D10" s="25" t="n">
        <v>0.051</v>
      </c>
      <c r="E10" s="25" t="n">
        <v>0.051</v>
      </c>
      <c r="F10" s="25" t="n">
        <v>0.051</v>
      </c>
      <c r="G10" s="25" t="n">
        <v>0.051</v>
      </c>
      <c r="H10" s="21" t="s">
        <v>150</v>
      </c>
    </row>
    <row r="11" customFormat="false" ht="15" hidden="false" customHeight="false" outlineLevel="0" collapsed="false">
      <c r="A11" s="9" t="s">
        <v>151</v>
      </c>
      <c r="B11" s="24" t="n">
        <f aca="false">-'KSS Model'!D13/('KSS Model'!D9+'KSS Model'!D12)</f>
        <v>0.327751658401494</v>
      </c>
      <c r="C11" s="25" t="n">
        <v>0.329</v>
      </c>
      <c r="D11" s="25" t="n">
        <v>0.329</v>
      </c>
      <c r="E11" s="25" t="n">
        <v>0.328</v>
      </c>
      <c r="F11" s="25" t="n">
        <v>0.327</v>
      </c>
      <c r="G11" s="25" t="n">
        <v>0.326</v>
      </c>
      <c r="H11" s="21" t="s">
        <v>152</v>
      </c>
    </row>
    <row r="12" customFormat="false" ht="15" hidden="false" customHeight="false" outlineLevel="0" collapsed="false">
      <c r="A12" s="9" t="s">
        <v>153</v>
      </c>
      <c r="B12" s="24" t="n">
        <f aca="false">-'KSS Model'!D14/('KSS Model'!D9+'KSS Model'!D12)</f>
        <v>0.0450827590648548</v>
      </c>
      <c r="C12" s="25" t="n">
        <v>0.043</v>
      </c>
      <c r="D12" s="25" t="n">
        <v>0.042</v>
      </c>
      <c r="E12" s="25" t="n">
        <v>0.04</v>
      </c>
      <c r="F12" s="25" t="n">
        <v>0.038</v>
      </c>
      <c r="G12" s="25" t="n">
        <v>0.037</v>
      </c>
      <c r="H12" s="21" t="s">
        <v>154</v>
      </c>
    </row>
    <row r="13" customFormat="false" ht="15" hidden="false" customHeight="false" outlineLevel="0" collapsed="false">
      <c r="A13" s="9" t="s">
        <v>155</v>
      </c>
      <c r="C13" s="25" t="n">
        <v>0.025</v>
      </c>
      <c r="D13" s="25" t="n">
        <v>0.025</v>
      </c>
      <c r="E13" s="25" t="n">
        <v>0.025</v>
      </c>
      <c r="F13" s="25" t="n">
        <v>0.025</v>
      </c>
      <c r="G13" s="25" t="n">
        <v>0.025</v>
      </c>
      <c r="H13" s="21" t="s">
        <v>156</v>
      </c>
    </row>
    <row r="14" customFormat="false" ht="15" hidden="false" customHeight="false" outlineLevel="0" collapsed="false">
      <c r="A14" s="9" t="s">
        <v>157</v>
      </c>
      <c r="B14" s="26" t="n">
        <f aca="false">'KSS Model'!D41/-'KSS Model'!D10*365</f>
        <v>108.5744473342</v>
      </c>
      <c r="C14" s="27" t="n">
        <v>108</v>
      </c>
      <c r="D14" s="27" t="n">
        <v>108</v>
      </c>
      <c r="E14" s="27" t="n">
        <v>108</v>
      </c>
      <c r="F14" s="27" t="n">
        <v>108</v>
      </c>
      <c r="G14" s="27" t="n">
        <v>108</v>
      </c>
      <c r="H14" s="21" t="s">
        <v>158</v>
      </c>
    </row>
    <row r="15" customFormat="false" ht="15" hidden="false" customHeight="false" outlineLevel="0" collapsed="false">
      <c r="A15" s="9" t="s">
        <v>159</v>
      </c>
      <c r="B15" s="26" t="n">
        <f aca="false">'KSS Model'!D50/-'KSS Model'!D10*365</f>
        <v>46.3171868227135</v>
      </c>
      <c r="C15" s="27" t="n">
        <v>43</v>
      </c>
      <c r="D15" s="27" t="n">
        <v>43</v>
      </c>
      <c r="E15" s="27" t="n">
        <v>43</v>
      </c>
      <c r="F15" s="27" t="n">
        <v>43</v>
      </c>
      <c r="G15" s="27" t="n">
        <v>43</v>
      </c>
      <c r="H15" s="21" t="s">
        <v>160</v>
      </c>
    </row>
    <row r="17" customFormat="false" ht="15" hidden="false" customHeight="false" outlineLevel="0" collapsed="false">
      <c r="A17" s="28" t="s">
        <v>161</v>
      </c>
    </row>
    <row r="18" customFormat="false" ht="15" hidden="false" customHeight="false" outlineLevel="0" collapsed="false">
      <c r="A18" s="9" t="s">
        <v>37</v>
      </c>
      <c r="B18" s="24" t="n">
        <f aca="false">'KSS Model'!D20/-'KSS Model'!D19</f>
        <v>0.19047619047619</v>
      </c>
      <c r="C18" s="25" t="n">
        <v>0.24</v>
      </c>
      <c r="D18" s="25" t="n">
        <v>0.24</v>
      </c>
      <c r="E18" s="25" t="n">
        <v>0.24</v>
      </c>
      <c r="F18" s="25" t="n">
        <v>0.24</v>
      </c>
      <c r="G18" s="25" t="n">
        <v>0.24</v>
      </c>
      <c r="H18" s="21" t="s">
        <v>162</v>
      </c>
    </row>
    <row r="19" customFormat="false" ht="15" hidden="false" customHeight="false" outlineLevel="0" collapsed="false">
      <c r="A19" s="9" t="s">
        <v>163</v>
      </c>
      <c r="B19" s="24" t="n">
        <f aca="false">-'KSS Model'!D18/SUM('KSS Model'!C52,'KSS Model'!C53,'KSS Model'!C54,'KSS Model'!C57,'KSS Model'!C58)</f>
        <v>0.0661460725769408</v>
      </c>
      <c r="C19" s="29" t="n">
        <f aca="false">B19</f>
        <v>0.0661460725769408</v>
      </c>
      <c r="D19" s="29" t="n">
        <f aca="false">C19</f>
        <v>0.0661460725769408</v>
      </c>
      <c r="E19" s="29" t="n">
        <f aca="false">D19</f>
        <v>0.0661460725769408</v>
      </c>
      <c r="F19" s="29" t="n">
        <f aca="false">E19</f>
        <v>0.0661460725769408</v>
      </c>
      <c r="G19" s="29" t="n">
        <f aca="false">F19</f>
        <v>0.0661460725769408</v>
      </c>
      <c r="H19" s="21" t="s">
        <v>164</v>
      </c>
    </row>
    <row r="20" customFormat="false" ht="15" hidden="false" customHeight="false" outlineLevel="0" collapsed="false">
      <c r="A20" s="9" t="s">
        <v>165</v>
      </c>
      <c r="B20" s="24" t="n">
        <f aca="false">'KSS Model'!D42/'KSS Model'!D9</f>
        <v>0.018409475465313</v>
      </c>
      <c r="C20" s="29" t="n">
        <f aca="false">B20</f>
        <v>0.018409475465313</v>
      </c>
      <c r="D20" s="29" t="n">
        <f aca="false">C20</f>
        <v>0.018409475465313</v>
      </c>
      <c r="E20" s="29" t="n">
        <f aca="false">D20</f>
        <v>0.018409475465313</v>
      </c>
      <c r="F20" s="29" t="n">
        <f aca="false">E20</f>
        <v>0.018409475465313</v>
      </c>
      <c r="G20" s="29" t="n">
        <f aca="false">F20</f>
        <v>0.018409475465313</v>
      </c>
      <c r="H20" s="21" t="s">
        <v>166</v>
      </c>
    </row>
    <row r="21" customFormat="false" ht="15" hidden="false" customHeight="false" outlineLevel="0" collapsed="false">
      <c r="A21" s="9" t="s">
        <v>167</v>
      </c>
      <c r="B21" s="24" t="n">
        <f aca="false">'KSS Model'!D51/('KSS Model'!D9+'KSS Model'!D12)</f>
        <v>0.0760610549365621</v>
      </c>
      <c r="C21" s="29" t="n">
        <f aca="false">B21</f>
        <v>0.0760610549365621</v>
      </c>
      <c r="D21" s="29" t="n">
        <f aca="false">C21</f>
        <v>0.0760610549365621</v>
      </c>
      <c r="E21" s="29" t="n">
        <f aca="false">D21</f>
        <v>0.0760610549365621</v>
      </c>
      <c r="F21" s="29" t="n">
        <f aca="false">E21</f>
        <v>0.0760610549365621</v>
      </c>
      <c r="G21" s="29" t="n">
        <f aca="false">F21</f>
        <v>0.0760610549365621</v>
      </c>
      <c r="H21" s="21" t="s">
        <v>166</v>
      </c>
    </row>
    <row r="22" customFormat="false" ht="15" hidden="false" customHeight="false" outlineLevel="0" collapsed="false">
      <c r="A22" s="9" t="s">
        <v>168</v>
      </c>
      <c r="B22" s="30" t="n">
        <f aca="false">'KSS Model'!D76</f>
        <v>34</v>
      </c>
      <c r="C22" s="31" t="n">
        <f aca="false">B22</f>
        <v>34</v>
      </c>
      <c r="D22" s="31" t="n">
        <f aca="false">C22</f>
        <v>34</v>
      </c>
      <c r="E22" s="31" t="n">
        <f aca="false">D22</f>
        <v>34</v>
      </c>
      <c r="F22" s="31" t="n">
        <f aca="false">E22</f>
        <v>34</v>
      </c>
      <c r="G22" s="31" t="n">
        <f aca="false">F22</f>
        <v>34</v>
      </c>
      <c r="H22" s="21" t="s">
        <v>169</v>
      </c>
    </row>
    <row r="23" customFormat="false" ht="15" hidden="false" customHeight="false" outlineLevel="0" collapsed="false">
      <c r="A23" s="9" t="s">
        <v>170</v>
      </c>
      <c r="B23" s="32" t="n">
        <f aca="false">'KSS Model'!D28</f>
        <v>0.5</v>
      </c>
      <c r="C23" s="33" t="n">
        <v>0.5</v>
      </c>
      <c r="D23" s="33" t="n">
        <v>0.5</v>
      </c>
      <c r="E23" s="33" t="n">
        <v>0.5</v>
      </c>
      <c r="F23" s="33" t="n">
        <v>0.5</v>
      </c>
      <c r="G23" s="33" t="n">
        <v>0.5</v>
      </c>
      <c r="H23" s="21" t="s">
        <v>171</v>
      </c>
    </row>
    <row r="24" customFormat="false" ht="15" hidden="false" customHeight="false" outlineLevel="0" collapsed="false">
      <c r="A24" s="9" t="s">
        <v>172</v>
      </c>
      <c r="C24" s="34" t="n">
        <v>100</v>
      </c>
      <c r="D24" s="34" t="n">
        <v>0</v>
      </c>
      <c r="E24" s="34" t="n">
        <v>0</v>
      </c>
      <c r="F24" s="34" t="n">
        <v>0</v>
      </c>
      <c r="G24" s="34" t="n">
        <v>0</v>
      </c>
      <c r="H24" s="21" t="s">
        <v>173</v>
      </c>
    </row>
    <row r="25" customFormat="false" ht="15" hidden="false" customHeight="false" outlineLevel="0" collapsed="false">
      <c r="A25" s="9" t="s">
        <v>174</v>
      </c>
      <c r="C25" s="33" t="n">
        <v>21.15</v>
      </c>
      <c r="D25" s="33" t="n">
        <v>21.15</v>
      </c>
      <c r="E25" s="33" t="n">
        <v>21.15</v>
      </c>
      <c r="F25" s="33" t="n">
        <v>21.15</v>
      </c>
      <c r="G25" s="33" t="n">
        <v>21.15</v>
      </c>
      <c r="H25" s="21" t="s">
        <v>175</v>
      </c>
    </row>
    <row r="26" customFormat="false" ht="15" hidden="false" customHeight="false" outlineLevel="0" collapsed="false">
      <c r="A26" s="9" t="s">
        <v>176</v>
      </c>
      <c r="C26" s="34" t="n">
        <v>113</v>
      </c>
      <c r="D26" s="34" t="n">
        <v>0</v>
      </c>
      <c r="E26" s="34" t="n">
        <v>0</v>
      </c>
      <c r="F26" s="34" t="n">
        <v>42</v>
      </c>
      <c r="G26" s="34" t="n">
        <v>360</v>
      </c>
      <c r="H26" s="21" t="s">
        <v>177</v>
      </c>
    </row>
    <row r="27" customFormat="false" ht="15" hidden="false" customHeight="false" outlineLevel="0" collapsed="false">
      <c r="A27" s="9" t="s">
        <v>178</v>
      </c>
      <c r="C27" s="31" t="n">
        <f aca="false">D26</f>
        <v>0</v>
      </c>
      <c r="D27" s="31" t="n">
        <f aca="false">E26</f>
        <v>0</v>
      </c>
      <c r="E27" s="31" t="n">
        <f aca="false">F26</f>
        <v>42</v>
      </c>
      <c r="F27" s="31" t="n">
        <f aca="false">G26</f>
        <v>360</v>
      </c>
      <c r="G27" s="34" t="n">
        <v>425</v>
      </c>
      <c r="H27" s="21" t="s">
        <v>179</v>
      </c>
    </row>
    <row r="28" customFormat="false" ht="15" hidden="false" customHeight="false" outlineLevel="0" collapsed="false">
      <c r="A28" s="9" t="s">
        <v>180</v>
      </c>
      <c r="C28" s="34" t="n">
        <v>200</v>
      </c>
      <c r="D28" s="34" t="n">
        <v>200</v>
      </c>
      <c r="E28" s="34" t="n">
        <v>200</v>
      </c>
      <c r="F28" s="34" t="n">
        <v>200</v>
      </c>
      <c r="G28" s="34" t="n">
        <v>200</v>
      </c>
      <c r="H28" s="21" t="s">
        <v>181</v>
      </c>
    </row>
    <row r="30" customFormat="false" ht="15" hidden="false" customHeight="false" outlineLevel="0" collapsed="false">
      <c r="A30" s="23" t="s">
        <v>11</v>
      </c>
      <c r="B30" s="23"/>
      <c r="C30" s="23"/>
      <c r="D30" s="23"/>
      <c r="E30" s="23"/>
      <c r="F30" s="23"/>
      <c r="G30" s="23"/>
    </row>
    <row r="31" customFormat="false" ht="15" hidden="false" customHeight="false" outlineLevel="0" collapsed="false">
      <c r="A31" s="9" t="s">
        <v>13</v>
      </c>
      <c r="B31" s="30" t="n">
        <f aca="false">'KSS Model'!D9</f>
        <v>14775</v>
      </c>
      <c r="C31" s="31" t="n">
        <f aca="false">B31*(1+C8)</f>
        <v>14627.25</v>
      </c>
      <c r="D31" s="31" t="n">
        <f aca="false">C31*(1+D8)</f>
        <v>14554.11375</v>
      </c>
      <c r="E31" s="31" t="n">
        <f aca="false">D31*(1+E8)</f>
        <v>14554.11375</v>
      </c>
      <c r="F31" s="31" t="n">
        <f aca="false">E31*(1+F8)</f>
        <v>14626.88431875</v>
      </c>
      <c r="G31" s="31" t="n">
        <f aca="false">F31*(1+G8)</f>
        <v>14773.1531619375</v>
      </c>
    </row>
    <row r="32" customFormat="false" ht="15" hidden="false" customHeight="false" outlineLevel="0" collapsed="false">
      <c r="A32" s="9" t="s">
        <v>14</v>
      </c>
      <c r="B32" s="30" t="n">
        <f aca="false">'KSS Model'!D10</f>
        <v>-9228</v>
      </c>
      <c r="C32" s="31" t="n">
        <f aca="false">-C31*(1-C9)</f>
        <v>-9068.895</v>
      </c>
      <c r="D32" s="31" t="n">
        <f aca="false">-D31*(1-D9)</f>
        <v>-9096.32109375</v>
      </c>
      <c r="E32" s="31" t="n">
        <f aca="false">-E31*(1-E9)</f>
        <v>-9096.32109375</v>
      </c>
      <c r="F32" s="31" t="n">
        <f aca="false">-F31*(1-F9)</f>
        <v>-9141.80269921875</v>
      </c>
      <c r="G32" s="31" t="n">
        <f aca="false">-G31*(1-G9)</f>
        <v>-9233.22072621094</v>
      </c>
    </row>
    <row r="33" customFormat="false" ht="15" hidden="false" customHeight="false" outlineLevel="0" collapsed="false">
      <c r="A33" s="28" t="s">
        <v>15</v>
      </c>
      <c r="B33" s="35" t="n">
        <f aca="false">SUM(B31,B32)</f>
        <v>5547</v>
      </c>
      <c r="C33" s="35" t="n">
        <f aca="false">SUM(C31,C32)</f>
        <v>5558.355</v>
      </c>
      <c r="D33" s="35" t="n">
        <f aca="false">SUM(D31,D32)</f>
        <v>5457.79265625</v>
      </c>
      <c r="E33" s="35" t="n">
        <f aca="false">SUM(E31,E32)</f>
        <v>5457.79265625</v>
      </c>
      <c r="F33" s="35" t="n">
        <f aca="false">SUM(F31,F32)</f>
        <v>5485.08161953125</v>
      </c>
      <c r="G33" s="35" t="n">
        <f aca="false">SUM(G31,G32)</f>
        <v>5539.93243572656</v>
      </c>
    </row>
    <row r="34" customFormat="false" ht="15" hidden="false" customHeight="false" outlineLevel="0" collapsed="false">
      <c r="A34" s="9" t="s">
        <v>16</v>
      </c>
      <c r="B34" s="30" t="n">
        <f aca="false">'KSS Model'!D12</f>
        <v>752</v>
      </c>
      <c r="C34" s="31" t="n">
        <f aca="false">C31*C10</f>
        <v>745.98975</v>
      </c>
      <c r="D34" s="31" t="n">
        <f aca="false">D31*D10</f>
        <v>742.25980125</v>
      </c>
      <c r="E34" s="31" t="n">
        <f aca="false">E31*E10</f>
        <v>742.25980125</v>
      </c>
      <c r="F34" s="31" t="n">
        <f aca="false">F31*F10</f>
        <v>745.97110025625</v>
      </c>
      <c r="G34" s="31" t="n">
        <f aca="false">G31*G10</f>
        <v>753.430811258812</v>
      </c>
    </row>
    <row r="35" customFormat="false" ht="15" hidden="false" customHeight="false" outlineLevel="0" collapsed="false">
      <c r="A35" s="9" t="s">
        <v>182</v>
      </c>
      <c r="B35" s="31" t="n">
        <f aca="false">SUM(B31,B34)</f>
        <v>15527</v>
      </c>
      <c r="C35" s="31" t="n">
        <f aca="false">SUM(C31,C34)</f>
        <v>15373.23975</v>
      </c>
      <c r="D35" s="31" t="n">
        <f aca="false">SUM(D31,D34)</f>
        <v>15296.37355125</v>
      </c>
      <c r="E35" s="31" t="n">
        <f aca="false">SUM(E31,E34)</f>
        <v>15296.37355125</v>
      </c>
      <c r="F35" s="31" t="n">
        <f aca="false">SUM(F31,F34)</f>
        <v>15372.8554190063</v>
      </c>
      <c r="G35" s="31" t="n">
        <f aca="false">SUM(G31,G34)</f>
        <v>15526.5839731963</v>
      </c>
      <c r="H35" s="21" t="s">
        <v>183</v>
      </c>
    </row>
    <row r="36" customFormat="false" ht="15" hidden="false" customHeight="false" outlineLevel="0" collapsed="false">
      <c r="A36" s="9" t="s">
        <v>17</v>
      </c>
      <c r="B36" s="30" t="n">
        <f aca="false">'KSS Model'!D13</f>
        <v>-5089</v>
      </c>
      <c r="C36" s="31" t="n">
        <f aca="false">-C35*C11</f>
        <v>-5057.79587775</v>
      </c>
      <c r="D36" s="31" t="n">
        <f aca="false">-D35*D11</f>
        <v>-5032.50689836125</v>
      </c>
      <c r="E36" s="31" t="n">
        <f aca="false">-E35*E11</f>
        <v>-5017.21052481</v>
      </c>
      <c r="F36" s="31" t="n">
        <f aca="false">-F35*F11</f>
        <v>-5026.92372201504</v>
      </c>
      <c r="G36" s="31" t="n">
        <f aca="false">-G35*G11</f>
        <v>-5061.666375262</v>
      </c>
    </row>
    <row r="37" customFormat="false" ht="15" hidden="false" customHeight="false" outlineLevel="0" collapsed="false">
      <c r="A37" s="9" t="s">
        <v>18</v>
      </c>
      <c r="B37" s="30" t="n">
        <f aca="false">'KSS Model'!D14</f>
        <v>-700</v>
      </c>
      <c r="C37" s="31" t="n">
        <f aca="false">-C35*C12</f>
        <v>-661.04930925</v>
      </c>
      <c r="D37" s="31" t="n">
        <f aca="false">-D35*D12</f>
        <v>-642.4476891525</v>
      </c>
      <c r="E37" s="31" t="n">
        <f aca="false">-E35*E12</f>
        <v>-611.85494205</v>
      </c>
      <c r="F37" s="31" t="n">
        <f aca="false">-F35*F12</f>
        <v>-584.168505922238</v>
      </c>
      <c r="G37" s="31" t="n">
        <f aca="false">-G35*G12</f>
        <v>-574.483607008263</v>
      </c>
    </row>
    <row r="38" customFormat="false" ht="15" hidden="false" customHeight="false" outlineLevel="0" collapsed="false">
      <c r="A38" s="9" t="s">
        <v>184</v>
      </c>
      <c r="B38" s="30" t="n">
        <f aca="false">'KSS Model'!D15+'KSS Model'!D16</f>
        <v>114</v>
      </c>
      <c r="C38" s="31" t="n">
        <f aca="false">0*C31</f>
        <v>0</v>
      </c>
      <c r="D38" s="31" t="n">
        <f aca="false">0*D31</f>
        <v>0</v>
      </c>
      <c r="E38" s="31" t="n">
        <f aca="false">0*E31</f>
        <v>0</v>
      </c>
      <c r="F38" s="31" t="n">
        <f aca="false">0*F31</f>
        <v>0</v>
      </c>
      <c r="G38" s="31" t="n">
        <f aca="false">0*G31</f>
        <v>0</v>
      </c>
      <c r="H38" s="21" t="s">
        <v>185</v>
      </c>
    </row>
    <row r="39" customFormat="false" ht="15" hidden="false" customHeight="false" outlineLevel="0" collapsed="false">
      <c r="A39" s="28" t="s">
        <v>21</v>
      </c>
      <c r="B39" s="35" t="n">
        <f aca="false">SUM(B33,B34,B36,B37,B38)</f>
        <v>624</v>
      </c>
      <c r="C39" s="35" t="n">
        <f aca="false">SUM(C33,C34,C36,C37,C38)</f>
        <v>585.499562999999</v>
      </c>
      <c r="D39" s="35" t="n">
        <f aca="false">SUM(D33,D34,D36,D37,D38)</f>
        <v>525.09786998625</v>
      </c>
      <c r="E39" s="35" t="n">
        <f aca="false">SUM(E33,E34,E36,E37,E38)</f>
        <v>570.986990639999</v>
      </c>
      <c r="F39" s="35" t="n">
        <f aca="false">SUM(F33,F34,F36,F37,F38)</f>
        <v>619.960491850218</v>
      </c>
      <c r="G39" s="35" t="n">
        <f aca="false">SUM(G33,G34,G36,G37,G38)</f>
        <v>657.213264715113</v>
      </c>
    </row>
    <row r="40" customFormat="false" ht="15" hidden="false" customHeight="false" outlineLevel="0" collapsed="false">
      <c r="A40" s="9" t="s">
        <v>22</v>
      </c>
      <c r="B40" s="30" t="n">
        <f aca="false">'KSS Model'!D18</f>
        <v>-288</v>
      </c>
      <c r="C40" s="36" t="n">
        <f aca="false">-C19*SUM(B68,B69,B70,B73,B74)</f>
        <v>-257.043638033992</v>
      </c>
      <c r="D40" s="36" t="n">
        <f aca="false">-D19*SUM(C68,C69,C70,C73,C74)</f>
        <v>-249.569131832797</v>
      </c>
      <c r="E40" s="36" t="n">
        <f aca="false">-E19*SUM(D68,D69,D70,D73,D74)</f>
        <v>-249.569131832797</v>
      </c>
      <c r="F40" s="36" t="n">
        <f aca="false">-F19*SUM(E68,E69,E70,E73,E74)</f>
        <v>-249.569131832797</v>
      </c>
      <c r="G40" s="36" t="n">
        <f aca="false">-G19*SUM(F68,F69,F70,F73,F74)</f>
        <v>-246.790996784566</v>
      </c>
      <c r="H40" s="21" t="s">
        <v>186</v>
      </c>
    </row>
    <row r="41" customFormat="false" ht="15" hidden="false" customHeight="false" outlineLevel="0" collapsed="false">
      <c r="A41" s="28" t="s">
        <v>23</v>
      </c>
      <c r="B41" s="35" t="n">
        <f aca="false">SUM(B39,B40)</f>
        <v>336</v>
      </c>
      <c r="C41" s="35" t="n">
        <f aca="false">SUM(C39,C40)</f>
        <v>328.455924966007</v>
      </c>
      <c r="D41" s="35" t="n">
        <f aca="false">SUM(D39,D40)</f>
        <v>275.528738153452</v>
      </c>
      <c r="E41" s="35" t="n">
        <f aca="false">SUM(E39,E40)</f>
        <v>321.417858807202</v>
      </c>
      <c r="F41" s="35" t="n">
        <f aca="false">SUM(F39,F40)</f>
        <v>370.391360017421</v>
      </c>
      <c r="G41" s="35" t="n">
        <f aca="false">SUM(G39,G40)</f>
        <v>410.422267930547</v>
      </c>
    </row>
    <row r="42" customFormat="false" ht="15" hidden="false" customHeight="false" outlineLevel="0" collapsed="false">
      <c r="A42" s="9" t="s">
        <v>24</v>
      </c>
      <c r="B42" s="30" t="n">
        <f aca="false">'KSS Model'!D20</f>
        <v>-64</v>
      </c>
      <c r="C42" s="31" t="n">
        <f aca="false">-C41*C18</f>
        <v>-78.8294219918417</v>
      </c>
      <c r="D42" s="31" t="n">
        <f aca="false">-D41*D18</f>
        <v>-66.1268971568285</v>
      </c>
      <c r="E42" s="31" t="n">
        <f aca="false">-E41*E18</f>
        <v>-77.1402861137284</v>
      </c>
      <c r="F42" s="31" t="n">
        <f aca="false">-F41*F18</f>
        <v>-88.8939264041809</v>
      </c>
      <c r="G42" s="31" t="n">
        <f aca="false">-G41*G18</f>
        <v>-98.5013443033314</v>
      </c>
    </row>
    <row r="43" customFormat="false" ht="15" hidden="false" customHeight="false" outlineLevel="0" collapsed="false">
      <c r="A43" s="28" t="s">
        <v>25</v>
      </c>
      <c r="B43" s="37" t="n">
        <f aca="false">SUM(B41,B42)</f>
        <v>272</v>
      </c>
      <c r="C43" s="37" t="n">
        <f aca="false">SUM(C41,C42)</f>
        <v>249.626502974165</v>
      </c>
      <c r="D43" s="37" t="n">
        <f aca="false">SUM(D41,D42)</f>
        <v>209.401840996624</v>
      </c>
      <c r="E43" s="37" t="n">
        <f aca="false">SUM(E41,E42)</f>
        <v>244.277572693473</v>
      </c>
      <c r="F43" s="37" t="n">
        <f aca="false">SUM(F41,F42)</f>
        <v>281.49743361324</v>
      </c>
      <c r="G43" s="37" t="n">
        <f aca="false">SUM(G41,G42)</f>
        <v>311.920923627216</v>
      </c>
    </row>
    <row r="45" customFormat="false" ht="15" hidden="false" customHeight="false" outlineLevel="0" collapsed="false">
      <c r="A45" s="28" t="s">
        <v>187</v>
      </c>
    </row>
    <row r="46" customFormat="false" ht="15" hidden="false" customHeight="false" outlineLevel="0" collapsed="false">
      <c r="A46" s="9" t="s">
        <v>188</v>
      </c>
      <c r="B46" s="30" t="n">
        <f aca="false">'KSS Model'!D24</f>
        <v>112</v>
      </c>
      <c r="C46" s="31" t="n">
        <f aca="false">B46-IFERROR(C24/C25,0)</f>
        <v>107.271867612293</v>
      </c>
      <c r="D46" s="31" t="n">
        <f aca="false">C46-IFERROR(D24/D25,0)</f>
        <v>107.271867612293</v>
      </c>
      <c r="E46" s="31" t="n">
        <f aca="false">D46-IFERROR(E24/E25,0)</f>
        <v>107.271867612293</v>
      </c>
      <c r="F46" s="31" t="n">
        <f aca="false">E46-IFERROR(F24/F25,0)</f>
        <v>107.271867612293</v>
      </c>
      <c r="G46" s="31" t="n">
        <f aca="false">F46-IFERROR(G24/G25,0)</f>
        <v>107.271867612293</v>
      </c>
      <c r="H46" s="21" t="s">
        <v>189</v>
      </c>
    </row>
    <row r="47" customFormat="false" ht="15" hidden="false" customHeight="false" outlineLevel="0" collapsed="false">
      <c r="A47" s="9" t="s">
        <v>190</v>
      </c>
      <c r="B47" s="30" t="n">
        <f aca="false">'KSS Model'!D24</f>
        <v>112</v>
      </c>
      <c r="C47" s="31" t="n">
        <f aca="false">AVERAGE(B46,C46)</f>
        <v>109.635933806147</v>
      </c>
      <c r="D47" s="31" t="n">
        <f aca="false">AVERAGE(C46,D46)</f>
        <v>107.271867612293</v>
      </c>
      <c r="E47" s="31" t="n">
        <f aca="false">AVERAGE(D46,E46)</f>
        <v>107.271867612293</v>
      </c>
      <c r="F47" s="31" t="n">
        <f aca="false">AVERAGE(E46,F46)</f>
        <v>107.271867612293</v>
      </c>
      <c r="G47" s="31" t="n">
        <f aca="false">AVERAGE(F46,G46)</f>
        <v>107.271867612293</v>
      </c>
      <c r="H47" s="21" t="s">
        <v>191</v>
      </c>
    </row>
    <row r="48" customFormat="false" ht="15" hidden="false" customHeight="false" outlineLevel="0" collapsed="false">
      <c r="A48" s="9" t="s">
        <v>192</v>
      </c>
      <c r="B48" s="30" t="n">
        <f aca="false">'KSS Model'!D25-'KSS Model'!D24</f>
        <v>2</v>
      </c>
      <c r="C48" s="31" t="n">
        <f aca="false">B48</f>
        <v>2</v>
      </c>
      <c r="D48" s="31" t="n">
        <f aca="false">C48</f>
        <v>2</v>
      </c>
      <c r="E48" s="31" t="n">
        <f aca="false">D48</f>
        <v>2</v>
      </c>
      <c r="F48" s="31" t="n">
        <f aca="false">E48</f>
        <v>2</v>
      </c>
      <c r="G48" s="31" t="n">
        <f aca="false">F48</f>
        <v>2</v>
      </c>
      <c r="H48" s="21" t="s">
        <v>193</v>
      </c>
    </row>
    <row r="49" customFormat="false" ht="15" hidden="false" customHeight="false" outlineLevel="0" collapsed="false">
      <c r="A49" s="9" t="s">
        <v>194</v>
      </c>
      <c r="B49" s="30" t="n">
        <f aca="false">'KSS Model'!D25</f>
        <v>114</v>
      </c>
      <c r="C49" s="31" t="n">
        <f aca="false">SUM(C47,C48)</f>
        <v>111.635933806147</v>
      </c>
      <c r="D49" s="31" t="n">
        <f aca="false">SUM(D47,D48)</f>
        <v>109.271867612293</v>
      </c>
      <c r="E49" s="31" t="n">
        <f aca="false">SUM(E47,E48)</f>
        <v>109.271867612293</v>
      </c>
      <c r="F49" s="31" t="n">
        <f aca="false">SUM(F47,F48)</f>
        <v>109.271867612293</v>
      </c>
      <c r="G49" s="31" t="n">
        <f aca="false">SUM(G47,G48)</f>
        <v>109.271867612293</v>
      </c>
    </row>
    <row r="50" customFormat="false" ht="15" hidden="false" customHeight="false" outlineLevel="0" collapsed="false">
      <c r="A50" s="9" t="s">
        <v>195</v>
      </c>
      <c r="B50" s="38" t="n">
        <f aca="false">IFERROR(B43/B49,0)</f>
        <v>2.3859649122807</v>
      </c>
      <c r="C50" s="38" t="n">
        <f aca="false">IFERROR(C43/C49,0)</f>
        <v>2.2360766328845</v>
      </c>
      <c r="D50" s="38" t="n">
        <f aca="false">IFERROR(D43/D49,0)</f>
        <v>1.91633808016901</v>
      </c>
      <c r="E50" s="38" t="n">
        <f aca="false">IFERROR(E43/E49,0)</f>
        <v>2.23550286117734</v>
      </c>
      <c r="F50" s="38" t="n">
        <f aca="false">IFERROR(F43/F49,0)</f>
        <v>2.57611990866688</v>
      </c>
      <c r="G50" s="38" t="n">
        <f aca="false">IFERROR(G43/G49,0)</f>
        <v>2.85454006088686</v>
      </c>
      <c r="H50" s="21" t="s">
        <v>196</v>
      </c>
    </row>
    <row r="51" customFormat="false" ht="15" hidden="false" customHeight="false" outlineLevel="0" collapsed="false">
      <c r="A51" s="9" t="s">
        <v>35</v>
      </c>
      <c r="B51" s="29" t="n">
        <f aca="false">IFERROR(B33/B31,0)</f>
        <v>0.375431472081218</v>
      </c>
      <c r="C51" s="29" t="n">
        <f aca="false">IFERROR(C33/C31,0)</f>
        <v>0.38</v>
      </c>
      <c r="D51" s="29" t="n">
        <f aca="false">IFERROR(D33/D31,0)</f>
        <v>0.375</v>
      </c>
      <c r="E51" s="29" t="n">
        <f aca="false">IFERROR(E33/E31,0)</f>
        <v>0.375</v>
      </c>
      <c r="F51" s="29" t="n">
        <f aca="false">IFERROR(F33/F31,0)</f>
        <v>0.375</v>
      </c>
      <c r="G51" s="29" t="n">
        <f aca="false">IFERROR(G33/G31,0)</f>
        <v>0.375</v>
      </c>
    </row>
    <row r="52" customFormat="false" ht="15" hidden="false" customHeight="false" outlineLevel="0" collapsed="false">
      <c r="A52" s="9" t="s">
        <v>36</v>
      </c>
      <c r="B52" s="29" t="n">
        <f aca="false">IFERROR(B39/B35,0)</f>
        <v>0.040188059509242</v>
      </c>
      <c r="C52" s="29" t="n">
        <f aca="false">IFERROR(C39/C35,0)</f>
        <v>0.0380856327307326</v>
      </c>
      <c r="D52" s="29" t="n">
        <f aca="false">IFERROR(D39/D35,0)</f>
        <v>0.0343282588011417</v>
      </c>
      <c r="E52" s="29" t="n">
        <f aca="false">IFERROR(E39/E35,0)</f>
        <v>0.0373282588011417</v>
      </c>
      <c r="F52" s="29" t="n">
        <f aca="false">IFERROR(F39/F35,0)</f>
        <v>0.0403282588011417</v>
      </c>
      <c r="G52" s="29" t="n">
        <f aca="false">IFERROR(G39/G35,0)</f>
        <v>0.0423282588011418</v>
      </c>
      <c r="H52" s="21" t="s">
        <v>197</v>
      </c>
    </row>
    <row r="54" customFormat="false" ht="15" hidden="false" customHeight="false" outlineLevel="0" collapsed="false">
      <c r="A54" s="23" t="s">
        <v>38</v>
      </c>
      <c r="B54" s="23"/>
      <c r="C54" s="23"/>
      <c r="D54" s="23"/>
      <c r="E54" s="23"/>
      <c r="F54" s="23"/>
      <c r="G54" s="23"/>
    </row>
    <row r="55" customFormat="false" ht="15" hidden="false" customHeight="false" outlineLevel="0" collapsed="false">
      <c r="A55" s="28" t="s">
        <v>41</v>
      </c>
    </row>
    <row r="56" customFormat="false" ht="15" hidden="false" customHeight="false" outlineLevel="0" collapsed="false">
      <c r="A56" s="9" t="s">
        <v>42</v>
      </c>
      <c r="B56" s="30" t="n">
        <f aca="false">'KSS Model'!D40</f>
        <v>674</v>
      </c>
      <c r="C56" s="36" t="n">
        <f aca="false">C113</f>
        <v>916.542986118646</v>
      </c>
      <c r="D56" s="36" t="n">
        <f aca="false">D113</f>
        <v>1356.9630206275</v>
      </c>
      <c r="E56" s="36" t="n">
        <f aca="false">E113</f>
        <v>1811.05026278358</v>
      </c>
      <c r="F56" s="36" t="n">
        <f aca="false">F113</f>
        <v>2227.13704259522</v>
      </c>
      <c r="G56" s="36" t="n">
        <f aca="false">G113</f>
        <v>2338.46114080517</v>
      </c>
    </row>
    <row r="57" customFormat="false" ht="15" hidden="false" customHeight="false" outlineLevel="0" collapsed="false">
      <c r="A57" s="9" t="s">
        <v>43</v>
      </c>
      <c r="B57" s="30" t="n">
        <f aca="false">'KSS Model'!D41</f>
        <v>2745</v>
      </c>
      <c r="C57" s="31" t="n">
        <f aca="false">-C32*C14/365</f>
        <v>2683.39906849315</v>
      </c>
      <c r="D57" s="31" t="n">
        <f aca="false">-D32*D14/365</f>
        <v>2691.51418664384</v>
      </c>
      <c r="E57" s="31" t="n">
        <f aca="false">-E32*E14/365</f>
        <v>2691.51418664384</v>
      </c>
      <c r="F57" s="31" t="n">
        <f aca="false">-F32*F14/365</f>
        <v>2704.97175757705</v>
      </c>
      <c r="G57" s="31" t="n">
        <f aca="false">-G32*G14/365</f>
        <v>2732.02147515283</v>
      </c>
    </row>
    <row r="58" customFormat="false" ht="15" hidden="false" customHeight="false" outlineLevel="0" collapsed="false">
      <c r="A58" s="9" t="s">
        <v>44</v>
      </c>
      <c r="B58" s="30" t="n">
        <f aca="false">'KSS Model'!D42</f>
        <v>272</v>
      </c>
      <c r="C58" s="31" t="n">
        <f aca="false">C31*C20</f>
        <v>269.28</v>
      </c>
      <c r="D58" s="31" t="n">
        <f aca="false">D31*D20</f>
        <v>267.9336</v>
      </c>
      <c r="E58" s="31" t="n">
        <f aca="false">E31*E20</f>
        <v>267.9336</v>
      </c>
      <c r="F58" s="31" t="n">
        <f aca="false">F31*F20</f>
        <v>269.273268</v>
      </c>
      <c r="G58" s="31" t="n">
        <f aca="false">G31*G20</f>
        <v>271.96600068</v>
      </c>
    </row>
    <row r="59" customFormat="false" ht="15" hidden="false" customHeight="false" outlineLevel="0" collapsed="false">
      <c r="A59" s="28" t="s">
        <v>45</v>
      </c>
      <c r="B59" s="35" t="n">
        <f aca="false">SUM(B56:B58)</f>
        <v>3691</v>
      </c>
      <c r="C59" s="35" t="n">
        <f aca="false">SUM(C56:C58)</f>
        <v>3869.2220546118</v>
      </c>
      <c r="D59" s="35" t="n">
        <f aca="false">SUM(D56:D58)</f>
        <v>4316.41080727133</v>
      </c>
      <c r="E59" s="35" t="n">
        <f aca="false">SUM(E56:E58)</f>
        <v>4770.49804942741</v>
      </c>
      <c r="F59" s="35" t="n">
        <f aca="false">SUM(F56:F58)</f>
        <v>5201.38206817228</v>
      </c>
      <c r="G59" s="35" t="n">
        <f aca="false">SUM(G56:G58)</f>
        <v>5342.44861663799</v>
      </c>
    </row>
    <row r="60" customFormat="false" ht="15" hidden="false" customHeight="false" outlineLevel="0" collapsed="false">
      <c r="A60" s="9" t="s">
        <v>46</v>
      </c>
      <c r="B60" s="30" t="n">
        <f aca="false">'KSS Model'!D44</f>
        <v>6914</v>
      </c>
      <c r="C60" s="36" t="n">
        <f aca="false">C120</f>
        <v>6637.2816845</v>
      </c>
      <c r="D60" s="36" t="n">
        <f aca="false">D120</f>
        <v>6377.24333412875</v>
      </c>
      <c r="E60" s="36" t="n">
        <f aca="false">E120</f>
        <v>6147.79773086</v>
      </c>
      <c r="F60" s="36" t="n">
        <f aca="false">F120</f>
        <v>5947.95061041292</v>
      </c>
      <c r="G60" s="36" t="n">
        <f aca="false">G120</f>
        <v>5761.63160273456</v>
      </c>
    </row>
    <row r="61" customFormat="false" ht="15" hidden="false" customHeight="false" outlineLevel="0" collapsed="false">
      <c r="A61" s="9" t="s">
        <v>47</v>
      </c>
      <c r="B61" s="30" t="n">
        <f aca="false">'KSS Model'!D45</f>
        <v>2338</v>
      </c>
      <c r="C61" s="31" t="n">
        <f aca="false">B61</f>
        <v>2338</v>
      </c>
      <c r="D61" s="31" t="n">
        <f aca="false">C61</f>
        <v>2338</v>
      </c>
      <c r="E61" s="31" t="n">
        <f aca="false">D61</f>
        <v>2338</v>
      </c>
      <c r="F61" s="31" t="n">
        <f aca="false">E61</f>
        <v>2338</v>
      </c>
      <c r="G61" s="31" t="n">
        <f aca="false">F61</f>
        <v>2338</v>
      </c>
      <c r="H61" s="21" t="s">
        <v>198</v>
      </c>
    </row>
    <row r="62" customFormat="false" ht="15" hidden="false" customHeight="false" outlineLevel="0" collapsed="false">
      <c r="A62" s="9" t="s">
        <v>48</v>
      </c>
      <c r="B62" s="30" t="n">
        <f aca="false">'KSS Model'!D46</f>
        <v>419</v>
      </c>
      <c r="C62" s="31" t="n">
        <f aca="false">B62</f>
        <v>419</v>
      </c>
      <c r="D62" s="31" t="n">
        <f aca="false">C62</f>
        <v>419</v>
      </c>
      <c r="E62" s="31" t="n">
        <f aca="false">D62</f>
        <v>419</v>
      </c>
      <c r="F62" s="31" t="n">
        <f aca="false">E62</f>
        <v>419</v>
      </c>
      <c r="G62" s="31" t="n">
        <f aca="false">F62</f>
        <v>419</v>
      </c>
      <c r="H62" s="21" t="s">
        <v>199</v>
      </c>
    </row>
    <row r="63" customFormat="false" ht="15" hidden="false" customHeight="false" outlineLevel="0" collapsed="false">
      <c r="A63" s="28" t="s">
        <v>49</v>
      </c>
      <c r="B63" s="37" t="n">
        <f aca="false">SUM(B59,B60,B61,B62)</f>
        <v>13362</v>
      </c>
      <c r="C63" s="37" t="n">
        <f aca="false">SUM(C59,C60,C61,C62)</f>
        <v>13263.5037391118</v>
      </c>
      <c r="D63" s="37" t="n">
        <f aca="false">SUM(D59,D60,D61,D62)</f>
        <v>13450.6541414001</v>
      </c>
      <c r="E63" s="37" t="n">
        <f aca="false">SUM(E59,E60,E61,E62)</f>
        <v>13675.2957802874</v>
      </c>
      <c r="F63" s="37" t="n">
        <f aca="false">SUM(F59,F60,F61,F62)</f>
        <v>13906.3326785852</v>
      </c>
      <c r="G63" s="37" t="n">
        <f aca="false">SUM(G59,G60,G61,G62)</f>
        <v>13861.0802193726</v>
      </c>
    </row>
    <row r="65" customFormat="false" ht="15" hidden="false" customHeight="false" outlineLevel="0" collapsed="false">
      <c r="A65" s="28" t="s">
        <v>50</v>
      </c>
    </row>
    <row r="66" customFormat="false" ht="15" hidden="false" customHeight="false" outlineLevel="0" collapsed="false">
      <c r="A66" s="9" t="s">
        <v>51</v>
      </c>
      <c r="B66" s="30" t="n">
        <f aca="false">'KSS Model'!D50</f>
        <v>1171</v>
      </c>
      <c r="C66" s="31" t="n">
        <f aca="false">-C32*C15/365</f>
        <v>1068.39036986301</v>
      </c>
      <c r="D66" s="31" t="n">
        <f aca="false">-D32*D15/365</f>
        <v>1071.62138912671</v>
      </c>
      <c r="E66" s="31" t="n">
        <f aca="false">-E32*E15/365</f>
        <v>1071.62138912671</v>
      </c>
      <c r="F66" s="31" t="n">
        <f aca="false">-F32*F15/365</f>
        <v>1076.97949607235</v>
      </c>
      <c r="G66" s="31" t="n">
        <f aca="false">-G32*G15/365</f>
        <v>1087.74929103307</v>
      </c>
    </row>
    <row r="67" customFormat="false" ht="15" hidden="false" customHeight="false" outlineLevel="0" collapsed="false">
      <c r="A67" s="9" t="s">
        <v>52</v>
      </c>
      <c r="B67" s="30" t="n">
        <f aca="false">'KSS Model'!D51</f>
        <v>1181</v>
      </c>
      <c r="C67" s="31" t="n">
        <f aca="false">C35*C21</f>
        <v>1169.30483317769</v>
      </c>
      <c r="D67" s="31" t="n">
        <f aca="false">D35*D21</f>
        <v>1163.4583090118</v>
      </c>
      <c r="E67" s="31" t="n">
        <f aca="false">E35*E21</f>
        <v>1163.4583090118</v>
      </c>
      <c r="F67" s="31" t="n">
        <f aca="false">F35*F21</f>
        <v>1169.27560055686</v>
      </c>
      <c r="G67" s="31" t="n">
        <f aca="false">G35*G21</f>
        <v>1180.96835656243</v>
      </c>
    </row>
    <row r="68" customFormat="false" ht="15" hidden="false" customHeight="false" outlineLevel="0" collapsed="false">
      <c r="A68" s="9" t="s">
        <v>53</v>
      </c>
      <c r="B68" s="30" t="n">
        <f aca="false">'KSS Model'!D52</f>
        <v>0</v>
      </c>
      <c r="C68" s="36" t="n">
        <f aca="false">MAX(0,B68+C28-C107)</f>
        <v>0</v>
      </c>
      <c r="D68" s="36" t="n">
        <f aca="false">MAX(0,C68+D28-D107)</f>
        <v>0</v>
      </c>
      <c r="E68" s="36" t="n">
        <f aca="false">MAX(0,D68+E28-E107)</f>
        <v>0</v>
      </c>
      <c r="F68" s="36" t="n">
        <f aca="false">MAX(0,E68+F28-F107)</f>
        <v>0</v>
      </c>
      <c r="G68" s="36" t="n">
        <f aca="false">MAX(0,F68+G28-G107)</f>
        <v>0</v>
      </c>
      <c r="H68" s="21" t="s">
        <v>200</v>
      </c>
    </row>
    <row r="69" customFormat="false" ht="15" hidden="false" customHeight="false" outlineLevel="0" collapsed="false">
      <c r="A69" s="9" t="s">
        <v>54</v>
      </c>
      <c r="B69" s="30" t="n">
        <f aca="false">'KSS Model'!D53</f>
        <v>0</v>
      </c>
      <c r="C69" s="31" t="n">
        <f aca="false">C27</f>
        <v>0</v>
      </c>
      <c r="D69" s="31" t="n">
        <f aca="false">D27</f>
        <v>0</v>
      </c>
      <c r="E69" s="31" t="n">
        <f aca="false">E27</f>
        <v>42</v>
      </c>
      <c r="F69" s="31" t="n">
        <f aca="false">F27</f>
        <v>360</v>
      </c>
      <c r="G69" s="31" t="n">
        <f aca="false">G27</f>
        <v>425</v>
      </c>
    </row>
    <row r="70" customFormat="false" ht="15" hidden="false" customHeight="false" outlineLevel="0" collapsed="false">
      <c r="A70" s="9" t="s">
        <v>55</v>
      </c>
      <c r="B70" s="30" t="n">
        <f aca="false">'KSS Model'!D54</f>
        <v>85</v>
      </c>
      <c r="C70" s="31" t="n">
        <f aca="false">B70</f>
        <v>85</v>
      </c>
      <c r="D70" s="31" t="n">
        <f aca="false">C70</f>
        <v>85</v>
      </c>
      <c r="E70" s="31" t="n">
        <f aca="false">D70</f>
        <v>85</v>
      </c>
      <c r="F70" s="31" t="n">
        <f aca="false">E70</f>
        <v>85</v>
      </c>
      <c r="G70" s="31" t="n">
        <f aca="false">F70</f>
        <v>85</v>
      </c>
      <c r="H70" s="21" t="s">
        <v>201</v>
      </c>
    </row>
    <row r="71" customFormat="false" ht="15" hidden="false" customHeight="false" outlineLevel="0" collapsed="false">
      <c r="A71" s="9" t="s">
        <v>56</v>
      </c>
      <c r="B71" s="30" t="n">
        <f aca="false">'KSS Model'!D55</f>
        <v>94</v>
      </c>
      <c r="C71" s="31" t="n">
        <f aca="false">B71</f>
        <v>94</v>
      </c>
      <c r="D71" s="31" t="n">
        <f aca="false">C71</f>
        <v>94</v>
      </c>
      <c r="E71" s="31" t="n">
        <f aca="false">D71</f>
        <v>94</v>
      </c>
      <c r="F71" s="31" t="n">
        <f aca="false">E71</f>
        <v>94</v>
      </c>
      <c r="G71" s="31" t="n">
        <f aca="false">F71</f>
        <v>94</v>
      </c>
    </row>
    <row r="72" customFormat="false" ht="15" hidden="false" customHeight="false" outlineLevel="0" collapsed="false">
      <c r="A72" s="28" t="s">
        <v>57</v>
      </c>
      <c r="B72" s="35" t="n">
        <f aca="false">SUM(B66:B71)</f>
        <v>2531</v>
      </c>
      <c r="C72" s="35" t="n">
        <f aca="false">SUM(C66:C71)</f>
        <v>2416.6952030407</v>
      </c>
      <c r="D72" s="35" t="n">
        <f aca="false">SUM(D66:D71)</f>
        <v>2414.07969813851</v>
      </c>
      <c r="E72" s="35" t="n">
        <f aca="false">SUM(E66:E71)</f>
        <v>2456.07969813851</v>
      </c>
      <c r="F72" s="35" t="n">
        <f aca="false">SUM(F66:F71)</f>
        <v>2785.25509662921</v>
      </c>
      <c r="G72" s="35" t="n">
        <f aca="false">SUM(G66:G71)</f>
        <v>2872.7176475955</v>
      </c>
    </row>
    <row r="73" customFormat="false" ht="15" hidden="false" customHeight="false" outlineLevel="0" collapsed="false">
      <c r="A73" s="9" t="s">
        <v>58</v>
      </c>
      <c r="B73" s="30" t="n">
        <f aca="false">'KSS Model'!D57</f>
        <v>1436</v>
      </c>
      <c r="C73" s="31" t="n">
        <f aca="false">B73+B69-C26-C69</f>
        <v>1323</v>
      </c>
      <c r="D73" s="31" t="n">
        <f aca="false">C73+C69-D26-D69</f>
        <v>1323</v>
      </c>
      <c r="E73" s="31" t="n">
        <f aca="false">D73+D69-E26-E69</f>
        <v>1281</v>
      </c>
      <c r="F73" s="31" t="n">
        <f aca="false">E73+E69-F26-F69</f>
        <v>921</v>
      </c>
      <c r="G73" s="31" t="n">
        <f aca="false">F73+F69-G26-G69</f>
        <v>496</v>
      </c>
      <c r="H73" s="21" t="s">
        <v>202</v>
      </c>
    </row>
    <row r="74" customFormat="false" ht="15" hidden="false" customHeight="false" outlineLevel="0" collapsed="false">
      <c r="A74" s="9" t="s">
        <v>59</v>
      </c>
      <c r="B74" s="30" t="n">
        <f aca="false">'KSS Model'!D58</f>
        <v>2365</v>
      </c>
      <c r="C74" s="31" t="n">
        <f aca="false">B74</f>
        <v>2365</v>
      </c>
      <c r="D74" s="31" t="n">
        <f aca="false">C74</f>
        <v>2365</v>
      </c>
      <c r="E74" s="31" t="n">
        <f aca="false">D74</f>
        <v>2365</v>
      </c>
      <c r="F74" s="31" t="n">
        <f aca="false">E74</f>
        <v>2365</v>
      </c>
      <c r="G74" s="31" t="n">
        <f aca="false">F74</f>
        <v>2365</v>
      </c>
    </row>
    <row r="75" customFormat="false" ht="15" hidden="false" customHeight="false" outlineLevel="0" collapsed="false">
      <c r="A75" s="9" t="s">
        <v>60</v>
      </c>
      <c r="B75" s="30" t="n">
        <f aca="false">'KSS Model'!D59</f>
        <v>2650</v>
      </c>
      <c r="C75" s="31" t="n">
        <f aca="false">B75</f>
        <v>2650</v>
      </c>
      <c r="D75" s="31" t="n">
        <f aca="false">C75</f>
        <v>2650</v>
      </c>
      <c r="E75" s="31" t="n">
        <f aca="false">D75</f>
        <v>2650</v>
      </c>
      <c r="F75" s="31" t="n">
        <f aca="false">E75</f>
        <v>2650</v>
      </c>
      <c r="G75" s="31" t="n">
        <f aca="false">F75</f>
        <v>2650</v>
      </c>
    </row>
    <row r="76" customFormat="false" ht="15" hidden="false" customHeight="false" outlineLevel="0" collapsed="false">
      <c r="A76" s="9" t="s">
        <v>61</v>
      </c>
      <c r="B76" s="30" t="n">
        <f aca="false">'KSS Model'!D60</f>
        <v>91</v>
      </c>
      <c r="C76" s="31" t="n">
        <f aca="false">B76</f>
        <v>91</v>
      </c>
      <c r="D76" s="31" t="n">
        <f aca="false">C76</f>
        <v>91</v>
      </c>
      <c r="E76" s="31" t="n">
        <f aca="false">D76</f>
        <v>91</v>
      </c>
      <c r="F76" s="31" t="n">
        <f aca="false">E76</f>
        <v>91</v>
      </c>
      <c r="G76" s="31" t="n">
        <f aca="false">F76</f>
        <v>91</v>
      </c>
      <c r="H76" s="21" t="s">
        <v>199</v>
      </c>
    </row>
    <row r="77" customFormat="false" ht="15" hidden="false" customHeight="false" outlineLevel="0" collapsed="false">
      <c r="A77" s="9" t="s">
        <v>62</v>
      </c>
      <c r="B77" s="30" t="n">
        <f aca="false">'KSS Model'!D61</f>
        <v>241</v>
      </c>
      <c r="C77" s="31" t="n">
        <f aca="false">B77</f>
        <v>241</v>
      </c>
      <c r="D77" s="31" t="n">
        <f aca="false">C77</f>
        <v>241</v>
      </c>
      <c r="E77" s="31" t="n">
        <f aca="false">D77</f>
        <v>241</v>
      </c>
      <c r="F77" s="31" t="n">
        <f aca="false">E77</f>
        <v>241</v>
      </c>
      <c r="G77" s="31" t="n">
        <f aca="false">F77</f>
        <v>241</v>
      </c>
      <c r="H77" s="21" t="s">
        <v>199</v>
      </c>
    </row>
    <row r="78" customFormat="false" ht="15" hidden="false" customHeight="false" outlineLevel="0" collapsed="false">
      <c r="A78" s="28" t="s">
        <v>63</v>
      </c>
      <c r="B78" s="35" t="n">
        <f aca="false">SUM(B72,B73,B74,B75,B76,B77)</f>
        <v>9314</v>
      </c>
      <c r="C78" s="35" t="n">
        <f aca="false">SUM(C72,C73,C74,C75,C76,C77)</f>
        <v>9086.69520304071</v>
      </c>
      <c r="D78" s="35" t="n">
        <f aca="false">SUM(D72,D73,D74,D75,D76,D77)</f>
        <v>9084.07969813851</v>
      </c>
      <c r="E78" s="35" t="n">
        <f aca="false">SUM(E72,E73,E74,E75,E76,E77)</f>
        <v>9084.07969813851</v>
      </c>
      <c r="F78" s="35" t="n">
        <f aca="false">SUM(F72,F73,F74,F75,F76,F77)</f>
        <v>9053.25509662921</v>
      </c>
      <c r="G78" s="35" t="n">
        <f aca="false">SUM(G72,G73,G74,G75,G76,G77)</f>
        <v>8715.7176475955</v>
      </c>
    </row>
    <row r="80" customFormat="false" ht="15" hidden="false" customHeight="false" outlineLevel="0" collapsed="false">
      <c r="A80" s="28" t="s">
        <v>64</v>
      </c>
    </row>
    <row r="81" customFormat="false" ht="15" hidden="false" customHeight="false" outlineLevel="0" collapsed="false">
      <c r="A81" s="9" t="s">
        <v>65</v>
      </c>
      <c r="B81" s="30" t="n">
        <f aca="false">'KSS Model'!D65</f>
        <v>1</v>
      </c>
      <c r="C81" s="31" t="n">
        <f aca="false">B81</f>
        <v>1</v>
      </c>
      <c r="D81" s="31" t="n">
        <f aca="false">C81</f>
        <v>1</v>
      </c>
      <c r="E81" s="31" t="n">
        <f aca="false">D81</f>
        <v>1</v>
      </c>
      <c r="F81" s="31" t="n">
        <f aca="false">E81</f>
        <v>1</v>
      </c>
      <c r="G81" s="31" t="n">
        <f aca="false">F81</f>
        <v>1</v>
      </c>
    </row>
    <row r="82" customFormat="false" ht="15" hidden="false" customHeight="false" outlineLevel="0" collapsed="false">
      <c r="A82" s="9" t="s">
        <v>66</v>
      </c>
      <c r="B82" s="30" t="n">
        <f aca="false">'KSS Model'!D66</f>
        <v>3595</v>
      </c>
      <c r="C82" s="31" t="n">
        <f aca="false">B82+C22</f>
        <v>3629</v>
      </c>
      <c r="D82" s="31" t="n">
        <f aca="false">C82+D22</f>
        <v>3663</v>
      </c>
      <c r="E82" s="31" t="n">
        <f aca="false">D82+E22</f>
        <v>3697</v>
      </c>
      <c r="F82" s="31" t="n">
        <f aca="false">E82+F22</f>
        <v>3731</v>
      </c>
      <c r="G82" s="31" t="n">
        <f aca="false">F82+G22</f>
        <v>3765</v>
      </c>
    </row>
    <row r="83" customFormat="false" ht="15" hidden="false" customHeight="false" outlineLevel="0" collapsed="false">
      <c r="A83" s="9" t="s">
        <v>67</v>
      </c>
      <c r="B83" s="30" t="n">
        <f aca="false">'KSS Model'!D67</f>
        <v>-771</v>
      </c>
      <c r="C83" s="31" t="n">
        <f aca="false">B83-C24</f>
        <v>-871</v>
      </c>
      <c r="D83" s="31" t="n">
        <f aca="false">C83-D24</f>
        <v>-871</v>
      </c>
      <c r="E83" s="31" t="n">
        <f aca="false">D83-E24</f>
        <v>-871</v>
      </c>
      <c r="F83" s="31" t="n">
        <f aca="false">E83-F24</f>
        <v>-871</v>
      </c>
      <c r="G83" s="31" t="n">
        <f aca="false">F83-G24</f>
        <v>-871</v>
      </c>
    </row>
    <row r="84" customFormat="false" ht="15" hidden="false" customHeight="false" outlineLevel="0" collapsed="false">
      <c r="A84" s="9" t="s">
        <v>68</v>
      </c>
      <c r="B84" s="30" t="n">
        <f aca="false">'KSS Model'!D68</f>
        <v>1223</v>
      </c>
      <c r="C84" s="36" t="n">
        <f aca="false">C126</f>
        <v>1417.80853607109</v>
      </c>
      <c r="D84" s="36" t="n">
        <f aca="false">D126</f>
        <v>1573.57444326157</v>
      </c>
      <c r="E84" s="36" t="n">
        <f aca="false">E126</f>
        <v>1764.2160821489</v>
      </c>
      <c r="F84" s="36" t="n">
        <f aca="false">F126</f>
        <v>1992.07758195599</v>
      </c>
      <c r="G84" s="36" t="n">
        <f aca="false">G126</f>
        <v>2250.36257177706</v>
      </c>
    </row>
    <row r="85" customFormat="false" ht="15" hidden="false" customHeight="false" outlineLevel="0" collapsed="false">
      <c r="A85" s="28" t="s">
        <v>69</v>
      </c>
      <c r="B85" s="35" t="n">
        <f aca="false">SUM(B81:B84)</f>
        <v>4048</v>
      </c>
      <c r="C85" s="35" t="n">
        <f aca="false">SUM(C81:C84)</f>
        <v>4176.80853607109</v>
      </c>
      <c r="D85" s="35" t="n">
        <f aca="false">SUM(D81:D84)</f>
        <v>4366.57444326157</v>
      </c>
      <c r="E85" s="35" t="n">
        <f aca="false">SUM(E81:E84)</f>
        <v>4591.2160821489</v>
      </c>
      <c r="F85" s="35" t="n">
        <f aca="false">SUM(F81:F84)</f>
        <v>4853.07758195599</v>
      </c>
      <c r="G85" s="35" t="n">
        <f aca="false">SUM(G81:G84)</f>
        <v>5145.36257177706</v>
      </c>
    </row>
    <row r="86" customFormat="false" ht="15" hidden="false" customHeight="false" outlineLevel="0" collapsed="false">
      <c r="A86" s="28" t="s">
        <v>70</v>
      </c>
      <c r="B86" s="37" t="n">
        <f aca="false">SUM(B78,B85)</f>
        <v>13362</v>
      </c>
      <c r="C86" s="37" t="n">
        <f aca="false">SUM(C78,C85)</f>
        <v>13263.5037391118</v>
      </c>
      <c r="D86" s="37" t="n">
        <f aca="false">SUM(D78,D85)</f>
        <v>13450.6541414001</v>
      </c>
      <c r="E86" s="37" t="n">
        <f aca="false">SUM(E78,E85)</f>
        <v>13675.2957802874</v>
      </c>
      <c r="F86" s="37" t="n">
        <f aca="false">SUM(F78,F85)</f>
        <v>13906.3326785852</v>
      </c>
      <c r="G86" s="37" t="n">
        <f aca="false">SUM(G78,G85)</f>
        <v>13861.0802193726</v>
      </c>
    </row>
    <row r="88" customFormat="false" ht="15" hidden="false" customHeight="false" outlineLevel="0" collapsed="false">
      <c r="A88" s="23" t="s">
        <v>71</v>
      </c>
      <c r="B88" s="23"/>
      <c r="C88" s="23"/>
      <c r="D88" s="23"/>
      <c r="E88" s="23"/>
      <c r="F88" s="23"/>
      <c r="G88" s="23"/>
    </row>
    <row r="89" customFormat="false" ht="15" hidden="false" customHeight="false" outlineLevel="0" collapsed="false">
      <c r="A89" s="28" t="s">
        <v>73</v>
      </c>
    </row>
    <row r="90" customFormat="false" ht="15" hidden="false" customHeight="false" outlineLevel="0" collapsed="false">
      <c r="A90" s="9" t="s">
        <v>25</v>
      </c>
      <c r="B90" s="31" t="n">
        <f aca="false">B43</f>
        <v>272</v>
      </c>
      <c r="C90" s="31" t="n">
        <f aca="false">C43</f>
        <v>249.626502974165</v>
      </c>
      <c r="D90" s="31" t="n">
        <f aca="false">D43</f>
        <v>209.401840996624</v>
      </c>
      <c r="E90" s="31" t="n">
        <f aca="false">E43</f>
        <v>244.277572693473</v>
      </c>
      <c r="F90" s="31" t="n">
        <f aca="false">F43</f>
        <v>281.49743361324</v>
      </c>
      <c r="G90" s="31" t="n">
        <f aca="false">G43</f>
        <v>311.920923627216</v>
      </c>
    </row>
    <row r="91" customFormat="false" ht="15" hidden="false" customHeight="false" outlineLevel="0" collapsed="false">
      <c r="A91" s="9" t="s">
        <v>18</v>
      </c>
      <c r="B91" s="31" t="n">
        <f aca="false">-B37</f>
        <v>700</v>
      </c>
      <c r="C91" s="31" t="n">
        <f aca="false">-C37</f>
        <v>661.04930925</v>
      </c>
      <c r="D91" s="31" t="n">
        <f aca="false">-D37</f>
        <v>642.4476891525</v>
      </c>
      <c r="E91" s="31" t="n">
        <f aca="false">-E37</f>
        <v>611.85494205</v>
      </c>
      <c r="F91" s="31" t="n">
        <f aca="false">-F37</f>
        <v>584.168505922238</v>
      </c>
      <c r="G91" s="31" t="n">
        <f aca="false">-G37</f>
        <v>574.483607008263</v>
      </c>
    </row>
    <row r="92" customFormat="false" ht="15" hidden="false" customHeight="false" outlineLevel="0" collapsed="false">
      <c r="A92" s="9" t="s">
        <v>74</v>
      </c>
      <c r="B92" s="31" t="n">
        <f aca="false">B22</f>
        <v>34</v>
      </c>
      <c r="C92" s="31" t="n">
        <f aca="false">C22</f>
        <v>34</v>
      </c>
      <c r="D92" s="31" t="n">
        <f aca="false">D22</f>
        <v>34</v>
      </c>
      <c r="E92" s="31" t="n">
        <f aca="false">E22</f>
        <v>34</v>
      </c>
      <c r="F92" s="31" t="n">
        <f aca="false">F22</f>
        <v>34</v>
      </c>
      <c r="G92" s="31" t="n">
        <f aca="false">G22</f>
        <v>34</v>
      </c>
    </row>
    <row r="93" customFormat="false" ht="15" hidden="false" customHeight="false" outlineLevel="0" collapsed="false">
      <c r="A93" s="9" t="s">
        <v>78</v>
      </c>
      <c r="C93" s="31" t="n">
        <f aca="false">B57-C57</f>
        <v>61.6009315068491</v>
      </c>
      <c r="D93" s="31" t="n">
        <f aca="false">C57-D57</f>
        <v>-8.11511815068479</v>
      </c>
      <c r="E93" s="31" t="n">
        <f aca="false">D57-E57</f>
        <v>0</v>
      </c>
      <c r="F93" s="31" t="n">
        <f aca="false">E57-F57</f>
        <v>-13.4575709332189</v>
      </c>
      <c r="G93" s="31" t="n">
        <f aca="false">F57-G57</f>
        <v>-27.0497175757705</v>
      </c>
    </row>
    <row r="94" customFormat="false" ht="15" hidden="false" customHeight="false" outlineLevel="0" collapsed="false">
      <c r="A94" s="9" t="s">
        <v>203</v>
      </c>
      <c r="C94" s="31" t="n">
        <f aca="false">B58-C58</f>
        <v>2.71999999999997</v>
      </c>
      <c r="D94" s="31" t="n">
        <f aca="false">C58-D58</f>
        <v>1.34640000000002</v>
      </c>
      <c r="E94" s="31" t="n">
        <f aca="false">D58-E58</f>
        <v>0</v>
      </c>
      <c r="F94" s="31" t="n">
        <f aca="false">E58-F58</f>
        <v>-1.33966799999996</v>
      </c>
      <c r="G94" s="31" t="n">
        <f aca="false">F58-G58</f>
        <v>-2.69273268000001</v>
      </c>
    </row>
    <row r="95" customFormat="false" ht="15" hidden="false" customHeight="false" outlineLevel="0" collapsed="false">
      <c r="A95" s="9" t="s">
        <v>80</v>
      </c>
      <c r="C95" s="31" t="n">
        <f aca="false">C66-B66</f>
        <v>-102.609630136986</v>
      </c>
      <c r="D95" s="31" t="n">
        <f aca="false">D66-C66</f>
        <v>3.23101926369873</v>
      </c>
      <c r="E95" s="31" t="n">
        <f aca="false">E66-D66</f>
        <v>0</v>
      </c>
      <c r="F95" s="31" t="n">
        <f aca="false">F66-E66</f>
        <v>5.35810694563315</v>
      </c>
      <c r="G95" s="31" t="n">
        <f aca="false">G66-F66</f>
        <v>10.7697949607236</v>
      </c>
    </row>
    <row r="96" customFormat="false" ht="15" hidden="false" customHeight="false" outlineLevel="0" collapsed="false">
      <c r="A96" s="9" t="s">
        <v>204</v>
      </c>
      <c r="C96" s="31" t="n">
        <f aca="false">C67-B67</f>
        <v>-11.6951668223094</v>
      </c>
      <c r="D96" s="31" t="n">
        <f aca="false">D67-C67</f>
        <v>-5.84652416588847</v>
      </c>
      <c r="E96" s="31" t="n">
        <f aca="false">E67-D67</f>
        <v>0</v>
      </c>
      <c r="F96" s="31" t="n">
        <f aca="false">F67-E67</f>
        <v>5.81729154505888</v>
      </c>
      <c r="G96" s="31" t="n">
        <f aca="false">G67-F67</f>
        <v>11.6927560055685</v>
      </c>
    </row>
    <row r="97" customFormat="false" ht="15" hidden="false" customHeight="false" outlineLevel="0" collapsed="false">
      <c r="A97" s="28" t="s">
        <v>83</v>
      </c>
      <c r="C97" s="35" t="n">
        <f aca="false">SUM(C90:C96)</f>
        <v>894.691946771719</v>
      </c>
      <c r="D97" s="35" t="n">
        <f aca="false">SUM(D90:D96)</f>
        <v>876.465307096249</v>
      </c>
      <c r="E97" s="35" t="n">
        <f aca="false">SUM(E90:E96)</f>
        <v>890.132514743473</v>
      </c>
      <c r="F97" s="35" t="n">
        <f aca="false">SUM(F90:F96)</f>
        <v>896.04409909295</v>
      </c>
      <c r="G97" s="35" t="n">
        <f aca="false">SUM(G90:G96)</f>
        <v>913.124631346001</v>
      </c>
    </row>
    <row r="99" customFormat="false" ht="15" hidden="false" customHeight="false" outlineLevel="0" collapsed="false">
      <c r="A99" s="28" t="s">
        <v>84</v>
      </c>
    </row>
    <row r="100" customFormat="false" ht="15" hidden="false" customHeight="false" outlineLevel="0" collapsed="false">
      <c r="A100" s="9" t="s">
        <v>85</v>
      </c>
      <c r="C100" s="31" t="n">
        <f aca="false">-C35*C13</f>
        <v>-384.33099375</v>
      </c>
      <c r="D100" s="31" t="n">
        <f aca="false">-D35*D13</f>
        <v>-382.40933878125</v>
      </c>
      <c r="E100" s="31" t="n">
        <f aca="false">-E35*E13</f>
        <v>-382.40933878125</v>
      </c>
      <c r="F100" s="31" t="n">
        <f aca="false">-F35*F13</f>
        <v>-384.321385475156</v>
      </c>
      <c r="G100" s="31" t="n">
        <f aca="false">-G35*G13</f>
        <v>-388.164599329908</v>
      </c>
    </row>
    <row r="101" customFormat="false" ht="15" hidden="false" customHeight="false" outlineLevel="0" collapsed="false">
      <c r="A101" s="28" t="s">
        <v>88</v>
      </c>
      <c r="C101" s="35" t="n">
        <f aca="false">SUM(C100)</f>
        <v>-384.33099375</v>
      </c>
      <c r="D101" s="35" t="n">
        <f aca="false">SUM(D100)</f>
        <v>-382.40933878125</v>
      </c>
      <c r="E101" s="35" t="n">
        <f aca="false">SUM(E100)</f>
        <v>-382.40933878125</v>
      </c>
      <c r="F101" s="35" t="n">
        <f aca="false">SUM(F100)</f>
        <v>-384.321385475156</v>
      </c>
      <c r="G101" s="35" t="n">
        <f aca="false">SUM(G100)</f>
        <v>-388.164599329908</v>
      </c>
    </row>
    <row r="103" customFormat="false" ht="15" hidden="false" customHeight="false" outlineLevel="0" collapsed="false">
      <c r="A103" s="28" t="s">
        <v>89</v>
      </c>
    </row>
    <row r="104" customFormat="false" ht="15" hidden="false" customHeight="false" outlineLevel="0" collapsed="false">
      <c r="A104" s="9" t="s">
        <v>95</v>
      </c>
      <c r="C104" s="31" t="n">
        <f aca="false">-C26</f>
        <v>-113</v>
      </c>
      <c r="D104" s="31" t="n">
        <f aca="false">-D26</f>
        <v>-0</v>
      </c>
      <c r="E104" s="31" t="n">
        <f aca="false">-E26</f>
        <v>-0</v>
      </c>
      <c r="F104" s="31" t="n">
        <f aca="false">-F26</f>
        <v>-42</v>
      </c>
      <c r="G104" s="31" t="n">
        <f aca="false">-G26</f>
        <v>-360</v>
      </c>
    </row>
    <row r="105" customFormat="false" ht="15" hidden="false" customHeight="false" outlineLevel="0" collapsed="false">
      <c r="A105" s="9" t="s">
        <v>94</v>
      </c>
      <c r="C105" s="31" t="n">
        <f aca="false">-C23*C47</f>
        <v>-54.8179669030733</v>
      </c>
      <c r="D105" s="31" t="n">
        <f aca="false">-D23*D47</f>
        <v>-53.6359338061466</v>
      </c>
      <c r="E105" s="31" t="n">
        <f aca="false">-E23*E47</f>
        <v>-53.6359338061466</v>
      </c>
      <c r="F105" s="31" t="n">
        <f aca="false">-F23*F47</f>
        <v>-53.6359338061466</v>
      </c>
      <c r="G105" s="31" t="n">
        <f aca="false">-G23*G47</f>
        <v>-53.6359338061466</v>
      </c>
    </row>
    <row r="106" customFormat="false" ht="15" hidden="false" customHeight="false" outlineLevel="0" collapsed="false">
      <c r="A106" s="9" t="s">
        <v>205</v>
      </c>
      <c r="C106" s="31" t="n">
        <f aca="false">-C24</f>
        <v>-100</v>
      </c>
      <c r="D106" s="31" t="n">
        <f aca="false">-D24</f>
        <v>-0</v>
      </c>
      <c r="E106" s="31" t="n">
        <f aca="false">-E24</f>
        <v>-0</v>
      </c>
      <c r="F106" s="31" t="n">
        <f aca="false">-F24</f>
        <v>-0</v>
      </c>
      <c r="G106" s="31" t="n">
        <f aca="false">-G24</f>
        <v>-0</v>
      </c>
    </row>
    <row r="107" customFormat="false" ht="15" hidden="false" customHeight="false" outlineLevel="0" collapsed="false">
      <c r="A107" s="9" t="s">
        <v>206</v>
      </c>
      <c r="C107" s="31" t="n">
        <f aca="false">B56+C97+C101+SUM(C104:C106)</f>
        <v>916.542986118646</v>
      </c>
      <c r="D107" s="31" t="n">
        <f aca="false">C56+D97+D101+SUM(D104:D106)</f>
        <v>1356.9630206275</v>
      </c>
      <c r="E107" s="31" t="n">
        <f aca="false">D56+E97+E101+SUM(E104:E106)</f>
        <v>1811.05026278358</v>
      </c>
      <c r="F107" s="31" t="n">
        <f aca="false">E56+F97+F101+SUM(F104:F106)</f>
        <v>2227.13704259522</v>
      </c>
      <c r="G107" s="31" t="n">
        <f aca="false">F56+G97+G101+SUM(G104:G106)</f>
        <v>2338.46114080517</v>
      </c>
      <c r="H107" s="21" t="s">
        <v>207</v>
      </c>
    </row>
    <row r="108" customFormat="false" ht="15" hidden="false" customHeight="false" outlineLevel="0" collapsed="false">
      <c r="A108" s="9" t="s">
        <v>208</v>
      </c>
      <c r="C108" s="31" t="n">
        <f aca="false">C68-B68</f>
        <v>0</v>
      </c>
      <c r="D108" s="31" t="n">
        <f aca="false">D68-C68</f>
        <v>0</v>
      </c>
      <c r="E108" s="31" t="n">
        <f aca="false">E68-D68</f>
        <v>0</v>
      </c>
      <c r="F108" s="31" t="n">
        <f aca="false">F68-E68</f>
        <v>0</v>
      </c>
      <c r="G108" s="31" t="n">
        <f aca="false">G68-F68</f>
        <v>0</v>
      </c>
    </row>
    <row r="109" customFormat="false" ht="15" hidden="false" customHeight="false" outlineLevel="0" collapsed="false">
      <c r="A109" s="28" t="s">
        <v>99</v>
      </c>
      <c r="C109" s="35" t="n">
        <f aca="false">SUM(C104,C105,C106,C108)</f>
        <v>-267.817966903073</v>
      </c>
      <c r="D109" s="35" t="n">
        <f aca="false">SUM(D104,D105,D106,D108)</f>
        <v>-53.6359338061466</v>
      </c>
      <c r="E109" s="35" t="n">
        <f aca="false">SUM(E104,E105,E106,E108)</f>
        <v>-53.6359338061466</v>
      </c>
      <c r="F109" s="35" t="n">
        <f aca="false">SUM(F104,F105,F106,F108)</f>
        <v>-95.6359338061466</v>
      </c>
      <c r="G109" s="35" t="n">
        <f aca="false">SUM(G104,G105,G106,G108)</f>
        <v>-413.635933806147</v>
      </c>
    </row>
    <row r="111" customFormat="false" ht="15" hidden="false" customHeight="false" outlineLevel="0" collapsed="false">
      <c r="A111" s="28" t="s">
        <v>100</v>
      </c>
      <c r="C111" s="35" t="n">
        <f aca="false">SUM(C97,C101,C109)</f>
        <v>242.542986118646</v>
      </c>
      <c r="D111" s="35" t="n">
        <f aca="false">SUM(D97,D101,D109)</f>
        <v>440.420034508853</v>
      </c>
      <c r="E111" s="35" t="n">
        <f aca="false">SUM(E97,E101,E109)</f>
        <v>454.087242156077</v>
      </c>
      <c r="F111" s="35" t="n">
        <f aca="false">SUM(F97,F101,F109)</f>
        <v>416.086779811648</v>
      </c>
      <c r="G111" s="35" t="n">
        <f aca="false">SUM(G97,G101,G109)</f>
        <v>111.324098209947</v>
      </c>
    </row>
    <row r="112" customFormat="false" ht="15" hidden="false" customHeight="false" outlineLevel="0" collapsed="false">
      <c r="A112" s="9" t="s">
        <v>101</v>
      </c>
      <c r="C112" s="31" t="n">
        <f aca="false">B56</f>
        <v>674</v>
      </c>
      <c r="D112" s="31" t="n">
        <f aca="false">C56</f>
        <v>916.542986118646</v>
      </c>
      <c r="E112" s="31" t="n">
        <f aca="false">D56</f>
        <v>1356.9630206275</v>
      </c>
      <c r="F112" s="31" t="n">
        <f aca="false">E56</f>
        <v>1811.05026278358</v>
      </c>
      <c r="G112" s="31" t="n">
        <f aca="false">F56</f>
        <v>2227.13704259522</v>
      </c>
    </row>
    <row r="113" customFormat="false" ht="15" hidden="false" customHeight="false" outlineLevel="0" collapsed="false">
      <c r="A113" s="28" t="s">
        <v>102</v>
      </c>
      <c r="C113" s="37" t="n">
        <f aca="false">SUM(C112,C111)</f>
        <v>916.542986118646</v>
      </c>
      <c r="D113" s="37" t="n">
        <f aca="false">SUM(D112,D111)</f>
        <v>1356.9630206275</v>
      </c>
      <c r="E113" s="37" t="n">
        <f aca="false">SUM(E112,E111)</f>
        <v>1811.05026278358</v>
      </c>
      <c r="F113" s="37" t="n">
        <f aca="false">SUM(F112,F111)</f>
        <v>2227.13704259522</v>
      </c>
      <c r="G113" s="37" t="n">
        <f aca="false">SUM(G112,G111)</f>
        <v>2338.46114080517</v>
      </c>
    </row>
    <row r="115" customFormat="false" ht="15" hidden="false" customHeight="false" outlineLevel="0" collapsed="false">
      <c r="A115" s="23" t="s">
        <v>209</v>
      </c>
      <c r="B115" s="23"/>
      <c r="C115" s="23"/>
      <c r="D115" s="23"/>
      <c r="E115" s="23"/>
      <c r="F115" s="23"/>
      <c r="G115" s="23"/>
    </row>
    <row r="116" customFormat="false" ht="15" hidden="false" customHeight="false" outlineLevel="0" collapsed="false">
      <c r="A116" s="28" t="s">
        <v>210</v>
      </c>
    </row>
    <row r="117" customFormat="false" ht="15" hidden="false" customHeight="false" outlineLevel="0" collapsed="false">
      <c r="A117" s="9" t="s">
        <v>211</v>
      </c>
      <c r="C117" s="31" t="n">
        <f aca="false">B60</f>
        <v>6914</v>
      </c>
      <c r="D117" s="31" t="n">
        <f aca="false">C60</f>
        <v>6637.2816845</v>
      </c>
      <c r="E117" s="31" t="n">
        <f aca="false">D60</f>
        <v>6377.24333412875</v>
      </c>
      <c r="F117" s="31" t="n">
        <f aca="false">E60</f>
        <v>6147.79773086</v>
      </c>
      <c r="G117" s="31" t="n">
        <f aca="false">F60</f>
        <v>5947.95061041292</v>
      </c>
    </row>
    <row r="118" customFormat="false" ht="15" hidden="false" customHeight="false" outlineLevel="0" collapsed="false">
      <c r="A118" s="9" t="s">
        <v>212</v>
      </c>
      <c r="C118" s="31" t="n">
        <f aca="false">-C100</f>
        <v>384.33099375</v>
      </c>
      <c r="D118" s="31" t="n">
        <f aca="false">-D100</f>
        <v>382.40933878125</v>
      </c>
      <c r="E118" s="31" t="n">
        <f aca="false">-E100</f>
        <v>382.40933878125</v>
      </c>
      <c r="F118" s="31" t="n">
        <f aca="false">-F100</f>
        <v>384.321385475156</v>
      </c>
      <c r="G118" s="31" t="n">
        <f aca="false">-G100</f>
        <v>388.164599329908</v>
      </c>
    </row>
    <row r="119" customFormat="false" ht="15" hidden="false" customHeight="false" outlineLevel="0" collapsed="false">
      <c r="A119" s="9" t="s">
        <v>213</v>
      </c>
      <c r="C119" s="31" t="n">
        <f aca="false">C37</f>
        <v>-661.04930925</v>
      </c>
      <c r="D119" s="31" t="n">
        <f aca="false">D37</f>
        <v>-642.4476891525</v>
      </c>
      <c r="E119" s="31" t="n">
        <f aca="false">E37</f>
        <v>-611.85494205</v>
      </c>
      <c r="F119" s="31" t="n">
        <f aca="false">F37</f>
        <v>-584.168505922238</v>
      </c>
      <c r="G119" s="31" t="n">
        <f aca="false">G37</f>
        <v>-574.483607008263</v>
      </c>
    </row>
    <row r="120" customFormat="false" ht="15" hidden="false" customHeight="false" outlineLevel="0" collapsed="false">
      <c r="A120" s="28" t="s">
        <v>214</v>
      </c>
      <c r="C120" s="35" t="n">
        <f aca="false">SUM(C117:C119)</f>
        <v>6637.2816845</v>
      </c>
      <c r="D120" s="35" t="n">
        <f aca="false">SUM(D117:D119)</f>
        <v>6377.24333412875</v>
      </c>
      <c r="E120" s="35" t="n">
        <f aca="false">SUM(E117:E119)</f>
        <v>6147.79773086</v>
      </c>
      <c r="F120" s="35" t="n">
        <f aca="false">SUM(F117:F119)</f>
        <v>5947.95061041292</v>
      </c>
      <c r="G120" s="35" t="n">
        <f aca="false">SUM(G117:G119)</f>
        <v>5761.63160273456</v>
      </c>
    </row>
    <row r="122" customFormat="false" ht="15" hidden="false" customHeight="false" outlineLevel="0" collapsed="false">
      <c r="A122" s="28" t="s">
        <v>215</v>
      </c>
    </row>
    <row r="123" customFormat="false" ht="15" hidden="false" customHeight="false" outlineLevel="0" collapsed="false">
      <c r="A123" s="9" t="s">
        <v>216</v>
      </c>
      <c r="C123" s="31" t="n">
        <f aca="false">B84</f>
        <v>1223</v>
      </c>
      <c r="D123" s="31" t="n">
        <f aca="false">C84</f>
        <v>1417.80853607109</v>
      </c>
      <c r="E123" s="31" t="n">
        <f aca="false">D84</f>
        <v>1573.57444326157</v>
      </c>
      <c r="F123" s="31" t="n">
        <f aca="false">E84</f>
        <v>1764.2160821489</v>
      </c>
      <c r="G123" s="31" t="n">
        <f aca="false">F84</f>
        <v>1992.07758195599</v>
      </c>
    </row>
    <row r="124" customFormat="false" ht="15" hidden="false" customHeight="false" outlineLevel="0" collapsed="false">
      <c r="A124" s="9" t="s">
        <v>217</v>
      </c>
      <c r="C124" s="31" t="n">
        <f aca="false">C43</f>
        <v>249.626502974165</v>
      </c>
      <c r="D124" s="31" t="n">
        <f aca="false">D43</f>
        <v>209.401840996624</v>
      </c>
      <c r="E124" s="31" t="n">
        <f aca="false">E43</f>
        <v>244.277572693473</v>
      </c>
      <c r="F124" s="31" t="n">
        <f aca="false">F43</f>
        <v>281.49743361324</v>
      </c>
      <c r="G124" s="31" t="n">
        <f aca="false">G43</f>
        <v>311.920923627216</v>
      </c>
    </row>
    <row r="125" customFormat="false" ht="15" hidden="false" customHeight="false" outlineLevel="0" collapsed="false">
      <c r="A125" s="9" t="s">
        <v>218</v>
      </c>
      <c r="C125" s="31" t="n">
        <f aca="false">C105</f>
        <v>-54.8179669030733</v>
      </c>
      <c r="D125" s="31" t="n">
        <f aca="false">D105</f>
        <v>-53.6359338061466</v>
      </c>
      <c r="E125" s="31" t="n">
        <f aca="false">E105</f>
        <v>-53.6359338061466</v>
      </c>
      <c r="F125" s="31" t="n">
        <f aca="false">F105</f>
        <v>-53.6359338061466</v>
      </c>
      <c r="G125" s="31" t="n">
        <f aca="false">G105</f>
        <v>-53.6359338061466</v>
      </c>
    </row>
    <row r="126" customFormat="false" ht="15" hidden="false" customHeight="false" outlineLevel="0" collapsed="false">
      <c r="A126" s="28" t="s">
        <v>219</v>
      </c>
      <c r="C126" s="35" t="n">
        <f aca="false">SUM(C123:C125)</f>
        <v>1417.80853607109</v>
      </c>
      <c r="D126" s="35" t="n">
        <f aca="false">SUM(D123:D125)</f>
        <v>1573.57444326157</v>
      </c>
      <c r="E126" s="35" t="n">
        <f aca="false">SUM(E123:E125)</f>
        <v>1764.2160821489</v>
      </c>
      <c r="F126" s="35" t="n">
        <f aca="false">SUM(F123:F125)</f>
        <v>1992.07758195599</v>
      </c>
      <c r="G126" s="35" t="n">
        <f aca="false">SUM(G123:G125)</f>
        <v>2250.36257177706</v>
      </c>
    </row>
    <row r="128" customFormat="false" ht="15" hidden="false" customHeight="false" outlineLevel="0" collapsed="false">
      <c r="A128" s="28" t="s">
        <v>220</v>
      </c>
    </row>
    <row r="129" customFormat="false" ht="15" hidden="false" customHeight="false" outlineLevel="0" collapsed="false">
      <c r="A129" s="9" t="s">
        <v>221</v>
      </c>
      <c r="B129" s="31" t="n">
        <f aca="false">SUM(B68,B69,B73)</f>
        <v>1436</v>
      </c>
      <c r="C129" s="31" t="n">
        <f aca="false">SUM(C68,C69,C73)</f>
        <v>1323</v>
      </c>
      <c r="D129" s="31" t="n">
        <f aca="false">SUM(D68,D69,D73)</f>
        <v>1323</v>
      </c>
      <c r="E129" s="31" t="n">
        <f aca="false">SUM(E68,E69,E73)</f>
        <v>1323</v>
      </c>
      <c r="F129" s="31" t="n">
        <f aca="false">SUM(F68,F69,F73)</f>
        <v>1281</v>
      </c>
      <c r="G129" s="31" t="n">
        <f aca="false">SUM(G68,G69,G73)</f>
        <v>921</v>
      </c>
    </row>
    <row r="130" customFormat="false" ht="15" hidden="false" customHeight="false" outlineLevel="0" collapsed="false">
      <c r="A130" s="9" t="s">
        <v>222</v>
      </c>
      <c r="B130" s="31" t="n">
        <f aca="false">B39-B37</f>
        <v>1324</v>
      </c>
      <c r="C130" s="31" t="n">
        <f aca="false">C39-C37</f>
        <v>1246.54887225</v>
      </c>
      <c r="D130" s="31" t="n">
        <f aca="false">D39-D37</f>
        <v>1167.54555913875</v>
      </c>
      <c r="E130" s="31" t="n">
        <f aca="false">E39-E37</f>
        <v>1182.84193269</v>
      </c>
      <c r="F130" s="31" t="n">
        <f aca="false">F39-F37</f>
        <v>1204.12899777246</v>
      </c>
      <c r="G130" s="31" t="n">
        <f aca="false">G39-G37</f>
        <v>1231.69687172338</v>
      </c>
    </row>
    <row r="131" customFormat="false" ht="15" hidden="false" customHeight="false" outlineLevel="0" collapsed="false">
      <c r="A131" s="9" t="s">
        <v>223</v>
      </c>
      <c r="B131" s="39" t="n">
        <f aca="false">IFERROR(B129/B130,0)</f>
        <v>1.08459214501511</v>
      </c>
      <c r="C131" s="39" t="n">
        <f aca="false">IFERROR(C129/C130,0)</f>
        <v>1.06133022896407</v>
      </c>
      <c r="D131" s="39" t="n">
        <f aca="false">IFERROR(D129/D130,0)</f>
        <v>1.13314635959553</v>
      </c>
      <c r="E131" s="39" t="n">
        <f aca="false">IFERROR(E129/E130,0)</f>
        <v>1.1184926433841</v>
      </c>
      <c r="F131" s="39" t="n">
        <f aca="false">IFERROR(F129/F130,0)</f>
        <v>1.06383950753595</v>
      </c>
      <c r="G131" s="39" t="n">
        <f aca="false">IFERROR(G129/G130,0)</f>
        <v>0.747748915454617</v>
      </c>
    </row>
    <row r="132" customFormat="false" ht="15" hidden="false" customHeight="false" outlineLevel="0" collapsed="false">
      <c r="A132" s="9" t="s">
        <v>224</v>
      </c>
      <c r="C132" s="31" t="n">
        <f aca="false">SUM(C97,C100)</f>
        <v>510.360953021719</v>
      </c>
      <c r="D132" s="31" t="n">
        <f aca="false">SUM(D97,D100)</f>
        <v>494.055968314999</v>
      </c>
      <c r="E132" s="31" t="n">
        <f aca="false">SUM(E97,E100)</f>
        <v>507.723175962223</v>
      </c>
      <c r="F132" s="31" t="n">
        <f aca="false">SUM(F97,F100)</f>
        <v>511.722713617794</v>
      </c>
      <c r="G132" s="31" t="n">
        <f aca="false">SUM(G97,G100)</f>
        <v>524.960032016093</v>
      </c>
    </row>
    <row r="134" customFormat="false" ht="15" hidden="false" customHeight="false" outlineLevel="0" collapsed="false">
      <c r="A134" s="23" t="s">
        <v>225</v>
      </c>
      <c r="B134" s="23"/>
      <c r="C134" s="23"/>
      <c r="D134" s="23"/>
      <c r="E134" s="23"/>
      <c r="F134" s="23"/>
      <c r="G134" s="23"/>
    </row>
    <row r="135" customFormat="false" ht="15" hidden="false" customHeight="false" outlineLevel="0" collapsed="false">
      <c r="A135" s="9" t="s">
        <v>132</v>
      </c>
      <c r="B135" s="31" t="n">
        <f aca="false">B63-B86</f>
        <v>0</v>
      </c>
      <c r="C135" s="31" t="n">
        <f aca="false">C63-C86</f>
        <v>0</v>
      </c>
      <c r="D135" s="31" t="n">
        <f aca="false">D63-D86</f>
        <v>0</v>
      </c>
      <c r="E135" s="31" t="n">
        <f aca="false">E63-E86</f>
        <v>0</v>
      </c>
      <c r="F135" s="31" t="n">
        <f aca="false">F63-F86</f>
        <v>0</v>
      </c>
      <c r="G135" s="31" t="n">
        <f aca="false">G63-G86</f>
        <v>0</v>
      </c>
    </row>
    <row r="136" customFormat="false" ht="15" hidden="false" customHeight="false" outlineLevel="0" collapsed="false">
      <c r="A136" s="9" t="s">
        <v>226</v>
      </c>
      <c r="C136" s="31" t="n">
        <f aca="false">C56-C113</f>
        <v>0</v>
      </c>
      <c r="D136" s="31" t="n">
        <f aca="false">D56-D113</f>
        <v>0</v>
      </c>
      <c r="E136" s="31" t="n">
        <f aca="false">E56-E113</f>
        <v>0</v>
      </c>
      <c r="F136" s="31" t="n">
        <f aca="false">F56-F113</f>
        <v>0</v>
      </c>
      <c r="G136" s="31" t="n">
        <f aca="false">G56-G113</f>
        <v>0</v>
      </c>
    </row>
    <row r="137" customFormat="false" ht="15" hidden="false" customHeight="false" outlineLevel="0" collapsed="false">
      <c r="A137" s="9" t="s">
        <v>227</v>
      </c>
      <c r="C137" s="31" t="n">
        <f aca="false">C84-(B84+C43+C105)</f>
        <v>0</v>
      </c>
      <c r="D137" s="31" t="n">
        <f aca="false">D84-(C84+D43+D105)</f>
        <v>0</v>
      </c>
      <c r="E137" s="31" t="n">
        <f aca="false">E84-(D84+E43+E105)</f>
        <v>0</v>
      </c>
      <c r="F137" s="31" t="n">
        <f aca="false">F84-(E84+F43+F105)</f>
        <v>0</v>
      </c>
      <c r="G137" s="31" t="n">
        <f aca="false">G84-(F84+G43+G105)</f>
        <v>0</v>
      </c>
    </row>
    <row r="138" customFormat="false" ht="15" hidden="false" customHeight="false" outlineLevel="0" collapsed="false">
      <c r="A138" s="9" t="s">
        <v>228</v>
      </c>
      <c r="B138" s="30" t="n">
        <f aca="false">B63-'KSS Model'!D47</f>
        <v>0</v>
      </c>
    </row>
    <row r="139" customFormat="false" ht="15" hidden="false" customHeight="false" outlineLevel="0" collapsed="false">
      <c r="A139" s="9" t="s">
        <v>229</v>
      </c>
      <c r="C139" s="40" t="n">
        <f aca="false">IF(AND(ABS(C135)&lt;0.001,ABS(C136)&lt;0.001,ABS(C137)&lt;0.001),1,0)</f>
        <v>1</v>
      </c>
      <c r="D139" s="40" t="n">
        <f aca="false">IF(AND(ABS(D135)&lt;0.001,ABS(D136)&lt;0.001,ABS(D137)&lt;0.001),1,0)</f>
        <v>1</v>
      </c>
      <c r="E139" s="40" t="n">
        <f aca="false">IF(AND(ABS(E135)&lt;0.001,ABS(E136)&lt;0.001,ABS(E137)&lt;0.001),1,0)</f>
        <v>1</v>
      </c>
      <c r="F139" s="40" t="n">
        <f aca="false">IF(AND(ABS(F135)&lt;0.001,ABS(F136)&lt;0.001,ABS(F137)&lt;0.001),1,0)</f>
        <v>1</v>
      </c>
      <c r="G139" s="40" t="n">
        <f aca="false">IF(AND(ABS(G135)&lt;0.001,ABS(G136)&lt;0.001,ABS(G137)&lt;0.001),1,0)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2026-10-19T09:59:53Z</dcterms:created>
  <dc:creator>openpyxl</dc:creator>
  <dc:description/>
  <dc:language>en-US</dc:language>
  <cp:lastModifiedBy/>
  <dcterms:modified xsi:type="dcterms:W3CDTF">2026-10-25T15:55:41Z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